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comments1.xml" ContentType="application/vnd.openxmlformats-officedocument.spreadsheetml.comment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tables/table19.xml" ContentType="application/vnd.openxmlformats-officedocument.spreadsheetml.table+xml"/>
  <Override PartName="/xl/queryTables/queryTable19.xml" ContentType="application/vnd.openxmlformats-officedocument.spreadsheetml.queryTab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tables/table20.xml" ContentType="application/vnd.openxmlformats-officedocument.spreadsheetml.table+xml"/>
  <Override PartName="/xl/queryTables/queryTable20.xml" ContentType="application/vnd.openxmlformats-officedocument.spreadsheetml.queryTab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tables/table21.xml" ContentType="application/vnd.openxmlformats-officedocument.spreadsheetml.table+xml"/>
  <Override PartName="/xl/queryTables/queryTable21.xml" ContentType="application/vnd.openxmlformats-officedocument.spreadsheetml.queryTab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LANUV\Abt3\FB34\Projekte\Umweltindikatoren\Umweltindikatoren_NRW\Indikatordaten Open Data\"/>
    </mc:Choice>
  </mc:AlternateContent>
  <bookViews>
    <workbookView xWindow="0" yWindow="0" windowWidth="21495" windowHeight="9885" tabRatio="825"/>
  </bookViews>
  <sheets>
    <sheet name="Inhalt" sheetId="21" r:id="rId1"/>
    <sheet name="README" sheetId="39" r:id="rId2"/>
    <sheet name="Treibhausgase" sheetId="1" r:id="rId3"/>
    <sheet name="Stickstoffdioxidemissionen" sheetId="2" r:id="rId4"/>
    <sheet name="NO2-Kontentration HG" sheetId="3" r:id="rId5"/>
    <sheet name="Feinstaubemissionen" sheetId="38" r:id="rId6"/>
    <sheet name="Feinstaubkonz. PM 2.5 10" sheetId="4" r:id="rId7"/>
    <sheet name="Ozonkonzentration HG" sheetId="5" r:id="rId8"/>
    <sheet name="Lärmbelastung Lden" sheetId="7" r:id="rId9"/>
    <sheet name="Lärmbelastung Lnight" sheetId="6" r:id="rId10"/>
    <sheet name="HH-Abfälle" sheetId="8" r:id="rId11"/>
    <sheet name="Recyclingqote" sheetId="9" r:id="rId12"/>
    <sheet name="Flächenverbrauch" sheetId="10" r:id="rId13"/>
    <sheet name="Siedlungsfläche" sheetId="11" r:id="rId14"/>
    <sheet name="Schwermetalleintrag" sheetId="12" r:id="rId15"/>
    <sheet name="Fließgewässerzustand" sheetId="13" r:id="rId16"/>
    <sheet name="Nitrat GW" sheetId="14" r:id="rId17"/>
    <sheet name="Gefärdete Arten" sheetId="15" r:id="rId18"/>
    <sheet name="Naturschutzflächen" sheetId="16" r:id="rId19"/>
    <sheet name="Stickstoffeintrag" sheetId="17" r:id="rId20"/>
    <sheet name="Säureeintrag" sheetId="18" r:id="rId21"/>
    <sheet name="N-Flächenbilanz" sheetId="19" r:id="rId22"/>
    <sheet name="HNV-Farmland" sheetId="20" r:id="rId23"/>
  </sheets>
  <definedNames>
    <definedName name="_xlnm._FilterDatabase" localSheetId="0" hidden="1">Inhalt!$A$1:$C$22</definedName>
    <definedName name="ExterneDaten_1" localSheetId="5" hidden="1">Feinstaubemissionen!$A$21:$I$28</definedName>
    <definedName name="ExterneDaten_1" localSheetId="6" hidden="1">'Feinstaubkonz. PM 2.5 10'!$A$21:$W$23</definedName>
    <definedName name="ExterneDaten_1" localSheetId="12" hidden="1">Flächenverbrauch!$A$21:$AA$23</definedName>
    <definedName name="ExterneDaten_1" localSheetId="15" hidden="1">Fließgewässerzustand!$A$21:$C$25</definedName>
    <definedName name="ExterneDaten_1" localSheetId="17" hidden="1">'Gefärdete Arten'!$A$21:$H$29</definedName>
    <definedName name="ExterneDaten_1" localSheetId="10" hidden="1">'HH-Abfälle'!$A$21:$AB$24</definedName>
    <definedName name="ExterneDaten_1" localSheetId="22" hidden="1">'HNV-Farmland'!$A$21:$N$24</definedName>
    <definedName name="ExterneDaten_1" localSheetId="8" hidden="1">'Lärmbelastung Lden'!$A$21:$F$23</definedName>
    <definedName name="ExterneDaten_1" localSheetId="9" hidden="1">'Lärmbelastung Lnight'!$A$21:$F$23</definedName>
    <definedName name="ExterneDaten_1" localSheetId="18" hidden="1">Naturschutzflächen!$A$21:$CZ$22</definedName>
    <definedName name="ExterneDaten_1" localSheetId="21" hidden="1">'N-Flächenbilanz'!$A$21:$AB$23</definedName>
    <definedName name="ExterneDaten_1" localSheetId="16" hidden="1">'Nitrat GW'!$A$21:$O$22</definedName>
    <definedName name="ExterneDaten_1" localSheetId="4" hidden="1">'NO2-Kontentration HG'!$A$21:$AH$22</definedName>
    <definedName name="ExterneDaten_1" localSheetId="7" hidden="1">'Ozonkonzentration HG'!$A$21:$AH$22</definedName>
    <definedName name="ExterneDaten_1" localSheetId="11" hidden="1">Recyclingqote!$A$21:$AA$22</definedName>
    <definedName name="ExterneDaten_1" localSheetId="20" hidden="1">Säureeintrag!$A$21:$AM$22</definedName>
    <definedName name="ExterneDaten_1" localSheetId="14" hidden="1">Schwermetalleintrag!$A$21:$AL$22</definedName>
    <definedName name="ExterneDaten_1" localSheetId="13" hidden="1">Siedlungsfläche!$A$21:$AA$23</definedName>
    <definedName name="ExterneDaten_1" localSheetId="3" hidden="1">Stickstoffdioxidemissionen!$A$21:$H$25</definedName>
    <definedName name="ExterneDaten_1" localSheetId="19" hidden="1">Stickstoffeintrag!$A$21:$AM$22</definedName>
    <definedName name="ExterneDaten_1" localSheetId="2" hidden="1">Treibhausgase!$A$21:$X$29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9" l="1"/>
  <c r="E9" i="19"/>
  <c r="F9" i="19"/>
  <c r="G9" i="19"/>
  <c r="H9" i="19"/>
  <c r="I9" i="19"/>
  <c r="J9" i="19"/>
  <c r="K9" i="19"/>
  <c r="L9" i="19"/>
  <c r="M9" i="19"/>
  <c r="N9" i="19"/>
  <c r="O9" i="19"/>
  <c r="P9" i="19"/>
  <c r="Q9" i="19"/>
  <c r="R9" i="19"/>
  <c r="S9" i="19"/>
  <c r="T9" i="19"/>
  <c r="U9" i="19"/>
  <c r="V9" i="19"/>
  <c r="W9" i="19"/>
  <c r="X9" i="19"/>
  <c r="Y9" i="19"/>
  <c r="Z9" i="19"/>
  <c r="AA9" i="19"/>
  <c r="AB8" i="19"/>
  <c r="AK8" i="12"/>
  <c r="AL8" i="12"/>
  <c r="AH8" i="5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AH8" i="3"/>
  <c r="C8" i="20"/>
  <c r="D8" i="20"/>
  <c r="E8" i="20"/>
  <c r="F8" i="20"/>
  <c r="G8" i="20"/>
  <c r="H8" i="20"/>
  <c r="I8" i="20"/>
  <c r="J8" i="20"/>
  <c r="K8" i="20"/>
  <c r="L8" i="20"/>
  <c r="M8" i="20"/>
  <c r="N8" i="20"/>
  <c r="C9" i="20"/>
  <c r="D9" i="20"/>
  <c r="E9" i="20"/>
  <c r="F9" i="20"/>
  <c r="G9" i="20"/>
  <c r="H9" i="20"/>
  <c r="I9" i="20"/>
  <c r="J9" i="20"/>
  <c r="K9" i="20"/>
  <c r="L9" i="20"/>
  <c r="M9" i="20"/>
  <c r="N9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B9" i="20"/>
  <c r="B10" i="20"/>
  <c r="B8" i="20"/>
  <c r="CZ8" i="16" l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C27" i="20" l="1"/>
  <c r="D27" i="20"/>
  <c r="B27" i="20"/>
  <c r="C8" i="19"/>
  <c r="D8" i="19"/>
  <c r="E8" i="19"/>
  <c r="F8" i="19"/>
  <c r="G8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W8" i="19"/>
  <c r="X8" i="19"/>
  <c r="Y8" i="19"/>
  <c r="Z8" i="19"/>
  <c r="AA8" i="19"/>
  <c r="B8" i="19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AL8" i="18"/>
  <c r="AM8" i="18"/>
  <c r="B8" i="18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B8" i="17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AA8" i="16"/>
  <c r="AB8" i="16"/>
  <c r="AC8" i="16"/>
  <c r="AD8" i="16"/>
  <c r="AE8" i="16"/>
  <c r="AF8" i="16"/>
  <c r="AG8" i="16"/>
  <c r="AH8" i="16"/>
  <c r="AI8" i="16"/>
  <c r="AJ8" i="16"/>
  <c r="AK8" i="16"/>
  <c r="AL8" i="16"/>
  <c r="AM8" i="16"/>
  <c r="AN8" i="16"/>
  <c r="AO8" i="16"/>
  <c r="AP8" i="16"/>
  <c r="AQ8" i="16"/>
  <c r="AR8" i="16"/>
  <c r="AS8" i="16"/>
  <c r="AT8" i="16"/>
  <c r="AU8" i="16"/>
  <c r="AV8" i="16"/>
  <c r="AW8" i="16"/>
  <c r="AX8" i="16"/>
  <c r="AY8" i="16"/>
  <c r="AZ8" i="16"/>
  <c r="BA8" i="16"/>
  <c r="BB8" i="16"/>
  <c r="BC8" i="16"/>
  <c r="BD8" i="16"/>
  <c r="BE8" i="16"/>
  <c r="BF8" i="16"/>
  <c r="BG8" i="16"/>
  <c r="BH8" i="16"/>
  <c r="BI8" i="16"/>
  <c r="BJ8" i="16"/>
  <c r="BK8" i="16"/>
  <c r="BL8" i="16"/>
  <c r="BM8" i="16"/>
  <c r="BN8" i="16"/>
  <c r="BO8" i="16"/>
  <c r="BP8" i="16"/>
  <c r="BQ8" i="16"/>
  <c r="BR8" i="16"/>
  <c r="BS8" i="16"/>
  <c r="BT8" i="16"/>
  <c r="BU8" i="16"/>
  <c r="BV8" i="16"/>
  <c r="BW8" i="16"/>
  <c r="BX8" i="16"/>
  <c r="BY8" i="16"/>
  <c r="BZ8" i="16"/>
  <c r="CA8" i="16"/>
  <c r="CB8" i="16"/>
  <c r="CC8" i="16"/>
  <c r="CD8" i="16"/>
  <c r="CE8" i="16"/>
  <c r="CF8" i="16"/>
  <c r="CG8" i="16"/>
  <c r="CH8" i="16"/>
  <c r="CI8" i="16"/>
  <c r="CJ8" i="16"/>
  <c r="CK8" i="16"/>
  <c r="CL8" i="16"/>
  <c r="CM8" i="16"/>
  <c r="CN8" i="16"/>
  <c r="CO8" i="16"/>
  <c r="CP8" i="16"/>
  <c r="CQ8" i="16"/>
  <c r="CR8" i="16"/>
  <c r="CS8" i="16"/>
  <c r="CT8" i="16"/>
  <c r="CU8" i="16"/>
  <c r="CV8" i="16"/>
  <c r="CW8" i="16"/>
  <c r="CX8" i="16"/>
  <c r="CY8" i="16"/>
  <c r="B8" i="16"/>
  <c r="C8" i="15"/>
  <c r="D8" i="15"/>
  <c r="E8" i="15"/>
  <c r="F8" i="15"/>
  <c r="G8" i="15"/>
  <c r="H8" i="15"/>
  <c r="C9" i="15"/>
  <c r="D9" i="15"/>
  <c r="E9" i="15"/>
  <c r="F9" i="15"/>
  <c r="G9" i="15"/>
  <c r="H9" i="15"/>
  <c r="C10" i="15"/>
  <c r="D10" i="15"/>
  <c r="E10" i="15"/>
  <c r="F10" i="15"/>
  <c r="G10" i="15"/>
  <c r="H10" i="15"/>
  <c r="C11" i="15"/>
  <c r="D11" i="15"/>
  <c r="E11" i="15"/>
  <c r="F11" i="15"/>
  <c r="G11" i="15"/>
  <c r="H11" i="15"/>
  <c r="B11" i="15"/>
  <c r="B10" i="15"/>
  <c r="B9" i="15"/>
  <c r="B8" i="15"/>
  <c r="C8" i="14"/>
  <c r="D8" i="14"/>
  <c r="E8" i="14"/>
  <c r="F8" i="14"/>
  <c r="G8" i="14"/>
  <c r="H8" i="14"/>
  <c r="I8" i="14"/>
  <c r="J8" i="14"/>
  <c r="K8" i="14"/>
  <c r="L8" i="14"/>
  <c r="M8" i="14"/>
  <c r="N8" i="14"/>
  <c r="O8" i="14"/>
  <c r="B8" i="14"/>
  <c r="C8" i="13"/>
  <c r="C9" i="13"/>
  <c r="C10" i="13"/>
  <c r="C11" i="13"/>
  <c r="B9" i="13"/>
  <c r="B10" i="13"/>
  <c r="B11" i="13"/>
  <c r="B8" i="13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J8" i="12"/>
  <c r="B8" i="12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Y9" i="11"/>
  <c r="Z9" i="11"/>
  <c r="AA9" i="11"/>
  <c r="B9" i="11"/>
  <c r="B8" i="11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C9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B9" i="10"/>
  <c r="B8" i="10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B8" i="9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B9" i="8"/>
  <c r="B10" i="8"/>
  <c r="B8" i="8"/>
  <c r="C8" i="6"/>
  <c r="D8" i="6"/>
  <c r="E8" i="6"/>
  <c r="F8" i="6"/>
  <c r="C9" i="6"/>
  <c r="D9" i="6"/>
  <c r="E9" i="6"/>
  <c r="F9" i="6"/>
  <c r="B9" i="6"/>
  <c r="B8" i="6"/>
  <c r="C8" i="7"/>
  <c r="D8" i="7"/>
  <c r="E8" i="7"/>
  <c r="F8" i="7"/>
  <c r="C9" i="7"/>
  <c r="D9" i="7"/>
  <c r="E9" i="7"/>
  <c r="F9" i="7"/>
  <c r="B9" i="7"/>
  <c r="B8" i="7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B8" i="5"/>
  <c r="B8" i="4"/>
  <c r="C8" i="38"/>
  <c r="D8" i="38"/>
  <c r="E8" i="38"/>
  <c r="F8" i="38"/>
  <c r="G8" i="38"/>
  <c r="H8" i="38"/>
  <c r="I8" i="38"/>
  <c r="C9" i="38"/>
  <c r="D9" i="38"/>
  <c r="E9" i="38"/>
  <c r="F9" i="38"/>
  <c r="G9" i="38"/>
  <c r="H9" i="38"/>
  <c r="I9" i="38"/>
  <c r="C10" i="38"/>
  <c r="D10" i="38"/>
  <c r="E10" i="38"/>
  <c r="F10" i="38"/>
  <c r="G10" i="38"/>
  <c r="H10" i="38"/>
  <c r="I10" i="38"/>
  <c r="C11" i="38"/>
  <c r="D11" i="38"/>
  <c r="E11" i="38"/>
  <c r="F11" i="38"/>
  <c r="G11" i="38"/>
  <c r="H11" i="38"/>
  <c r="I11" i="38"/>
  <c r="C12" i="38"/>
  <c r="D12" i="38"/>
  <c r="E12" i="38"/>
  <c r="F12" i="38"/>
  <c r="G12" i="38"/>
  <c r="H12" i="38"/>
  <c r="I12" i="38"/>
  <c r="C13" i="38"/>
  <c r="D13" i="38"/>
  <c r="E13" i="38"/>
  <c r="F13" i="38"/>
  <c r="G13" i="38"/>
  <c r="H13" i="38"/>
  <c r="I13" i="38"/>
  <c r="C14" i="38"/>
  <c r="D14" i="38"/>
  <c r="E14" i="38"/>
  <c r="F14" i="38"/>
  <c r="G14" i="38"/>
  <c r="H14" i="38"/>
  <c r="I14" i="38"/>
  <c r="B9" i="38"/>
  <c r="B10" i="38"/>
  <c r="B11" i="38"/>
  <c r="B12" i="38"/>
  <c r="B13" i="38"/>
  <c r="B14" i="38"/>
  <c r="B8" i="38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B8" i="3"/>
  <c r="C8" i="2"/>
  <c r="D8" i="2"/>
  <c r="E8" i="2"/>
  <c r="F8" i="2"/>
  <c r="G8" i="2"/>
  <c r="H8" i="2"/>
  <c r="C9" i="2"/>
  <c r="D9" i="2"/>
  <c r="E9" i="2"/>
  <c r="F9" i="2"/>
  <c r="G9" i="2"/>
  <c r="H9" i="2"/>
  <c r="C10" i="2"/>
  <c r="D10" i="2"/>
  <c r="E10" i="2"/>
  <c r="F10" i="2"/>
  <c r="G10" i="2"/>
  <c r="H10" i="2"/>
  <c r="C11" i="2"/>
  <c r="D11" i="2"/>
  <c r="E11" i="2"/>
  <c r="F11" i="2"/>
  <c r="G11" i="2"/>
  <c r="H11" i="2"/>
  <c r="B9" i="2"/>
  <c r="B10" i="2"/>
  <c r="B11" i="2"/>
  <c r="B8" i="2"/>
  <c r="A22" i="21" l="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6" i="21"/>
  <c r="A5" i="21"/>
  <c r="A4" i="21"/>
  <c r="A3" i="21"/>
  <c r="A2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3" i="21"/>
  <c r="B2" i="21"/>
  <c r="C9" i="19"/>
</calcChain>
</file>

<file path=xl/comments1.xml><?xml version="1.0" encoding="utf-8"?>
<comments xmlns="http://schemas.openxmlformats.org/spreadsheetml/2006/main">
  <authors>
    <author>Braukmann, Jürgen</author>
  </authors>
  <commentList>
    <comment ref="V8" authorId="0" shapeId="0">
      <text>
        <r>
          <rPr>
            <b/>
            <sz val="9"/>
            <color indexed="81"/>
            <rFont val="Segoe UI"/>
            <family val="2"/>
          </rPr>
          <t>Braukmann, Jürgen:</t>
        </r>
        <r>
          <rPr>
            <sz val="9"/>
            <color indexed="81"/>
            <rFont val="Segoe UI"/>
            <family val="2"/>
          </rPr>
          <t xml:space="preserve">
vom LANUV rückmigriert von ALKIS nach ALB</t>
        </r>
      </text>
    </comment>
  </commentList>
</comments>
</file>

<file path=xl/connections.xml><?xml version="1.0" encoding="utf-8"?>
<connections xmlns="http://schemas.openxmlformats.org/spreadsheetml/2006/main">
  <connection id="1" keepAlive="1" name="Abfrage - abw-01-haushaltsabfall" description="Verbindung mit der Abfrage 'abw-01-haushaltsabfall' in der Arbeitsmappe." type="5" refreshedVersion="6" background="1" saveData="1">
    <dbPr connection="Provider=Microsoft.Mashup.OleDb.1;Data Source=$Workbook$;Location=abw-01-haushaltsabfall;Extended Properties=&quot;&quot;" command="SELECT * FROM [abw-01-haushaltsabfall]"/>
  </connection>
  <connection id="2" keepAlive="1" name="Abfrage - abw-02-recycling" description="Verbindung mit der Abfrage 'abw-02-recycling' in der Arbeitsmappe." type="5" refreshedVersion="6" background="1" saveData="1">
    <dbPr connection="Provider=Microsoft.Mashup.OleDb.1;Data Source=$Workbook$;Location=abw-02-recycling;Extended Properties=&quot;&quot;" command="SELECT * FROM [abw-02-recycling]"/>
  </connection>
  <connection id="3" keepAlive="1" name="Abfrage - abw-03-flaechenverbrauch" description="Verbindung mit der Abfrage 'abw-03-flaechenverbrauch' in der Arbeitsmappe." type="5" refreshedVersion="6" background="1" saveData="1">
    <dbPr connection="Provider=Microsoft.Mashup.OleDb.1;Data Source=$Workbook$;Location=abw-03-flaechenverbrauch;Extended Properties=&quot;&quot;" command="SELECT * FROM [abw-03-flaechenverbrauch]"/>
  </connection>
  <connection id="4" keepAlive="1" name="Abfrage - abw-04-siedlungsflaeche" description="Verbindung mit der Abfrage 'abw-04-siedlungsflaeche' in der Arbeitsmappe." type="5" refreshedVersion="6" background="1" saveData="1">
    <dbPr connection="Provider=Microsoft.Mashup.OleDb.1;Data Source=$Workbook$;Location=abw-04-siedlungsflaeche;Extended Properties=&quot;&quot;" command="SELECT * FROM [abw-04-siedlungsflaeche]"/>
  </connection>
  <connection id="5" keepAlive="1" name="Abfrage - abw-05-schwermetalleintrag" description="Verbindung mit der Abfrage 'abw-05-schwermetalleintrag' in der Arbeitsmappe." type="5" refreshedVersion="6" background="1" saveData="1">
    <dbPr connection="Provider=Microsoft.Mashup.OleDb.1;Data Source=$Workbook$;Location=abw-05-schwermetalleintrag;Extended Properties=&quot;&quot;" command="SELECT * FROM [abw-05-schwermetalleintrag]"/>
  </connection>
  <connection id="6" keepAlive="1" name="Abfrage - abw-06-fliessgewaesser" description="Verbindung mit der Abfrage 'abw-06-fliessgewaesser' in der Arbeitsmappe." type="5" refreshedVersion="6" background="1" saveData="1">
    <dbPr connection="Provider=Microsoft.Mashup.OleDb.1;Data Source=$Workbook$;Location=abw-06-fliessgewaesser;Extended Properties=&quot;&quot;" command="SELECT * FROM [abw-06-fliessgewaesser]"/>
  </connection>
  <connection id="7" keepAlive="1" name="Abfrage - abw-07-nitrat-grundwasser" description="Verbindung mit der Abfrage 'abw-07-nitrat-grundwasser' in der Arbeitsmappe." type="5" refreshedVersion="6" background="1" saveData="1">
    <dbPr connection="Provider=Microsoft.Mashup.OleDb.1;Data Source=$Workbook$;Location=abw-07-nitrat-grundwasser;Extended Properties=&quot;&quot;" command="SELECT * FROM [abw-07-nitrat-grundwasser]"/>
  </connection>
  <connection id="8" keepAlive="1" name="Abfrage - kee-02-treibhausgase" description="Verbindung mit der Abfrage 'kee-02-treibhausgase' in der Arbeitsmappe." type="5" refreshedVersion="6" background="1" saveData="1">
    <dbPr connection="Provider=Microsoft.Mashup.OleDb.1;Data Source=$Workbook$;Location=kee-02-treibhausgase;Extended Properties=&quot;&quot;" command="SELECT * FROM [kee-02-treibhausgase]"/>
  </connection>
  <connection id="9" keepAlive="1" name="Abfrage - nlr-01-gef-arten" description="Verbindung mit der Abfrage 'nlr-01-gef-arten' in der Arbeitsmappe." type="5" refreshedVersion="6" background="1" saveData="1">
    <dbPr connection="Provider=Microsoft.Mashup.OleDb.1;Data Source=$Workbook$;Location=nlr-01-gef-arten;Extended Properties=&quot;&quot;" command="SELECT * FROM [nlr-01-gef-arten]"/>
  </connection>
  <connection id="10" keepAlive="1" name="Abfrage - nlr-03-naturschutzflaechen" description="Verbindung mit der Abfrage 'nlr-03-naturschutzflaechen' in der Arbeitsmappe." type="5" refreshedVersion="6" background="1" saveData="1">
    <dbPr connection="Provider=Microsoft.Mashup.OleDb.1;Data Source=$Workbook$;Location=nlr-03-naturschutzflaechen;Extended Properties=&quot;&quot;" command="SELECT * FROM [nlr-03-naturschutzflaechen]"/>
  </connection>
  <connection id="11" keepAlive="1" name="Abfrage - nlr-04-stickstoffeintrag" description="Verbindung mit der Abfrage 'nlr-04-stickstoffeintrag' in der Arbeitsmappe." type="5" refreshedVersion="6" background="1" saveData="1">
    <dbPr connection="Provider=Microsoft.Mashup.OleDb.1;Data Source=$Workbook$;Location=nlr-04-stickstoffeintrag;Extended Properties=&quot;&quot;" command="SELECT * FROM [nlr-04-stickstoffeintrag]"/>
  </connection>
  <connection id="12" keepAlive="1" name="Abfrage - nlr-05-saeureeintreg" description="Verbindung mit der Abfrage 'nlr-05-saeureeintreg' in der Arbeitsmappe." type="5" refreshedVersion="6" background="1" saveData="1">
    <dbPr connection="Provider=Microsoft.Mashup.OleDb.1;Data Source=$Workbook$;Location=nlr-05-saeureeintreg;Extended Properties=&quot;&quot;" command="SELECT * FROM [nlr-05-saeureeintreg]"/>
  </connection>
  <connection id="13" keepAlive="1" name="Abfrage - nlr-08-n-flaechenbilanz" description="Verbindung mit der Abfrage 'nlr-08-n-flaechenbilanz' in der Arbeitsmappe." type="5" refreshedVersion="6" background="1" saveData="1">
    <dbPr connection="Provider=Microsoft.Mashup.OleDb.1;Data Source=$Workbook$;Location=nlr-08-n-flaechenbilanz;Extended Properties=&quot;&quot;" command="SELECT * FROM [nlr-08-n-flaechenbilanz]"/>
  </connection>
  <connection id="14" keepAlive="1" name="Abfrage - nlr-09-hnv-flaechen" description="Verbindung mit der Abfrage 'nlr-09-hnv-flaechen' in der Arbeitsmappe." type="5" refreshedVersion="6" background="1" saveData="1">
    <dbPr connection="Provider=Microsoft.Mashup.OleDb.1;Data Source=$Workbook$;Location=nlr-09-hnv-flaechen;Extended Properties=&quot;&quot;" command="SELECT * FROM [nlr-09-hnv-flaechen]"/>
  </connection>
  <connection id="15" keepAlive="1" name="Abfrage - uug-01-nox-emissionen" description="Verbindung mit der Abfrage 'uug-01-nox-emissionen' in der Arbeitsmappe." type="5" refreshedVersion="6" background="1" saveData="1">
    <dbPr connection="Provider=Microsoft.Mashup.OleDb.1;Data Source=$Workbook$;Location=uug-01-nox-emissionen;Extended Properties=&quot;&quot;" command="SELECT * FROM [uug-01-nox-emissionen]"/>
  </connection>
  <connection id="16" keepAlive="1" name="Abfrage - uug-02-no2-hintergrund" description="Verbindung mit der Abfrage 'uug-02-no2-hintergrund' in der Arbeitsmappe." type="5" refreshedVersion="6" background="1" saveData="1">
    <dbPr connection="Provider=Microsoft.Mashup.OleDb.1;Data Source=$Workbook$;Location=uug-02-no2-hintergrund;Extended Properties=&quot;&quot;" command="SELECT * FROM [uug-02-no2-hintergrund]"/>
  </connection>
  <connection id="17" keepAlive="1" name="Abfrage - uug-03-pmx-hintergrund" description="Verbindung mit der Abfrage 'uug-03-pmx-hintergrund' in der Arbeitsmappe." type="5" refreshedVersion="6" background="1" saveData="1">
    <dbPr connection="Provider=Microsoft.Mashup.OleDb.1;Data Source=$Workbook$;Location=uug-03-pmx-hintergrund;Extended Properties=&quot;&quot;" command="SELECT * FROM [uug-03-pmx-hintergrund]"/>
  </connection>
  <connection id="18" keepAlive="1" name="Abfrage - uug-04-o3-hintergrund" description="Verbindung mit der Abfrage 'uug-04-o3-hintergrund' in der Arbeitsmappe." type="5" refreshedVersion="6" background="1" saveData="1">
    <dbPr connection="Provider=Microsoft.Mashup.OleDb.1;Data Source=$Workbook$;Location=uug-04-o3-hintergrund;Extended Properties=&quot;&quot;" command="SELECT * FROM [uug-04-o3-hintergrund]"/>
  </connection>
  <connection id="19" keepAlive="1" name="Abfrage - uug-05-laerm-lnight" description="Verbindung mit der Abfrage 'uug-05-laerm-lnight' in der Arbeitsmappe." type="5" refreshedVersion="6" background="1" saveData="1">
    <dbPr connection="Provider=Microsoft.Mashup.OleDb.1;Data Source=$Workbook$;Location=uug-05-laerm-lnight;Extended Properties=&quot;&quot;" command="SELECT * FROM [uug-05-laerm-lnight]"/>
  </connection>
  <connection id="20" keepAlive="1" name="Abfrage - uug-06-laerm-lden" description="Verbindung mit der Abfrage 'uug-06-laerm-lden' in der Arbeitsmappe." type="5" refreshedVersion="6" background="1" saveData="1">
    <dbPr connection="Provider=Microsoft.Mashup.OleDb.1;Data Source=$Workbook$;Location=uug-06-laerm-lden;Extended Properties=&quot;&quot;" command="SELECT * FROM [uug-06-laerm-lden]"/>
  </connection>
  <connection id="21" keepAlive="1" name="Abfrage - uug-07-feinstaubemissionen" description="Verbindung mit der Abfrage 'uug-07-feinstaubemissionen' in der Arbeitsmappe." type="5" refreshedVersion="6" background="1" saveData="1">
    <dbPr connection="Provider=Microsoft.Mashup.OleDb.1;Data Source=$Workbook$;Location=uug-07-feinstaubemissionen;Extended Properties=&quot;&quot;" command="SELECT * FROM [uug-07-feinstaubemissionen]"/>
  </connection>
</connections>
</file>

<file path=xl/sharedStrings.xml><?xml version="1.0" encoding="utf-8"?>
<sst xmlns="http://schemas.openxmlformats.org/spreadsheetml/2006/main" count="1868" uniqueCount="882">
  <si>
    <t>Stickstoffdioxidkonzentration</t>
  </si>
  <si>
    <t>Millionen Tonnen Kohlendioxid-Äquivalente</t>
  </si>
  <si>
    <t>Tonnen</t>
  </si>
  <si>
    <t>Jahresmittelwert Mikrogramm pro Kubikmeter</t>
  </si>
  <si>
    <t>Jahresmittelwert in Mikrogramm pro Kubikmeter</t>
  </si>
  <si>
    <t>Anzahl Stundenmittelwerte über 180 Mikrogramm pro Kubikmeter</t>
  </si>
  <si>
    <t>Ozonkonzentration</t>
  </si>
  <si>
    <t>Anzahl Betroffene</t>
  </si>
  <si>
    <t>Straße</t>
  </si>
  <si>
    <t>Bundesschienenwege</t>
  </si>
  <si>
    <t>Sonstige Schienenwege</t>
  </si>
  <si>
    <t>Fluglärm</t>
  </si>
  <si>
    <t>Industrie</t>
  </si>
  <si>
    <t>Ballungsräume</t>
  </si>
  <si>
    <t>nicht Ballungsräume</t>
  </si>
  <si>
    <t>Abfälle in Kilogramm pro Kopf</t>
  </si>
  <si>
    <t>Recyclingquote</t>
  </si>
  <si>
    <t>Siedlungsfläche</t>
  </si>
  <si>
    <t>Schwermetalleintrag</t>
  </si>
  <si>
    <t>Anteil der Messstellen mit Nitratgehalten über 50 mg/l</t>
  </si>
  <si>
    <t>Anteil der Messstellen in Prozent mit Nitratbelastung über 50 Milligramm pro Liter</t>
  </si>
  <si>
    <t>Ausgestorben oder verschollen</t>
  </si>
  <si>
    <t>Durch extreme Seltenheit gefährdet</t>
  </si>
  <si>
    <t>Gefährdungausmaß unbekannt</t>
  </si>
  <si>
    <t>Vom Aussterben bedroht</t>
  </si>
  <si>
    <t>Stark gefährdet</t>
  </si>
  <si>
    <t>Gefährdet</t>
  </si>
  <si>
    <t>Nicht in der Roten Liste</t>
  </si>
  <si>
    <t>Anteil der Gefährdungskategorien in Prozent</t>
  </si>
  <si>
    <t>Naturschutzflächen</t>
  </si>
  <si>
    <t>Stickstoffeintrag</t>
  </si>
  <si>
    <t>Kilogramm pro Hektar</t>
  </si>
  <si>
    <t>Kiloäquivalente pro Hektar</t>
  </si>
  <si>
    <t>Säureeintrag</t>
  </si>
  <si>
    <t>Stickstoff-Flächenbilanz</t>
  </si>
  <si>
    <t>Gleitendes Mittel über 3 Jahre</t>
  </si>
  <si>
    <t>Kilogramm Stickstoff pro Hektar</t>
  </si>
  <si>
    <t>Mäßig hoher Naturwert</t>
  </si>
  <si>
    <t>Sehr hoher Naturwert</t>
  </si>
  <si>
    <t>Äußerst hoher Naturwert</t>
  </si>
  <si>
    <t>Anteil an der gesamten Landwirtschaftsfläche in Prozent</t>
  </si>
  <si>
    <t>Stand</t>
  </si>
  <si>
    <t>Indikator / Datenreihe</t>
  </si>
  <si>
    <t>Treibhausgase</t>
  </si>
  <si>
    <t>Stickstoffdioxidemissionen</t>
  </si>
  <si>
    <t>Stickstoffdioxidkonzentration im städtischen Hintergrund</t>
  </si>
  <si>
    <t>Ozonkonzentration im städtischen Hintergrund</t>
  </si>
  <si>
    <t>Lärmbelastung Lnight</t>
  </si>
  <si>
    <t>Lärmbelastung Lden</t>
  </si>
  <si>
    <t>Haushaltsabfälle</t>
  </si>
  <si>
    <t>Flächenverbrauch</t>
  </si>
  <si>
    <t>Schwermetalleintrag an ländlichen Stationen</t>
  </si>
  <si>
    <t>Ökologischer Zustand der oberirdischen Fließgewässer</t>
  </si>
  <si>
    <t>Nitratkonzentration im Grundwasser</t>
  </si>
  <si>
    <t>Gefährdete Arten</t>
  </si>
  <si>
    <t>Landwirtschaftsflächen mit hohem Naturwert (HNV)</t>
  </si>
  <si>
    <t>1979
2960 Arten</t>
  </si>
  <si>
    <t>1986
2964 Arten</t>
  </si>
  <si>
    <t>1999
3041 Arten</t>
  </si>
  <si>
    <t>2011
3088 Arten</t>
  </si>
  <si>
    <t>Energiewirtschaft</t>
  </si>
  <si>
    <t>Verkehr</t>
  </si>
  <si>
    <t>Haushalte / Kleinverbrauch</t>
  </si>
  <si>
    <t>Fl. Emissionen aus Brennstoffen</t>
  </si>
  <si>
    <t>Produktanwendungen/Sonstige</t>
  </si>
  <si>
    <t>Landwirtschaft</t>
  </si>
  <si>
    <t>Abfall</t>
  </si>
  <si>
    <t>Recyclingquote in Prozent</t>
  </si>
  <si>
    <t>Hektar pro Tag</t>
  </si>
  <si>
    <t>Quadratmeter Siedlungsfläche pro Kopf</t>
  </si>
  <si>
    <t>2012-2014</t>
  </si>
  <si>
    <t>2015-2018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</si>
  <si>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</si>
  <si>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</si>
  <si>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</si>
  <si>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</si>
  <si>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</si>
  <si>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</si>
  <si>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</si>
  <si>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</si>
  <si>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</si>
  <si>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</si>
  <si>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</si>
  <si>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</si>
  <si>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</si>
  <si>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</si>
  <si>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</si>
  <si>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</si>
  <si>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</si>
  <si>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</si>
  <si>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</si>
  <si>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</si>
  <si>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</si>
  <si>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</si>
  <si>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</si>
  <si>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</si>
  <si>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</si>
  <si>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</si>
  <si>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</si>
  <si>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</si>
  <si>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</si>
  <si>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</si>
  <si>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</si>
  <si>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</si>
  <si>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</si>
  <si>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</si>
  <si>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</si>
  <si>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</si>
  <si>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</si>
  <si>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</si>
  <si>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</si>
  <si>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</si>
  <si>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</si>
  <si>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</si>
  <si>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</si>
  <si>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</si>
  <si>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</si>
  <si>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</si>
  <si>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</si>
  <si>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</si>
  <si>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</si>
  <si>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</si>
  <si>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</si>
  <si>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</si>
  <si>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</si>
  <si>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</si>
  <si>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</si>
  <si>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</si>
  <si>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</si>
  <si>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</si>
  <si>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</si>
  <si>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</si>
  <si>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</si>
  <si>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</si>
  <si>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</si>
  <si>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</si>
  <si>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</si>
  <si>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</si>
  <si>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</si>
  <si>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</si>
  <si>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</si>
  <si>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</si>
  <si>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PM10</t>
  </si>
  <si>
    <t>PM2.5</t>
  </si>
  <si>
    <t>Feinstaubkonzentration PM10 / PM2.5 im städtischen Hintergrund</t>
  </si>
  <si>
    <t>2016 *)</t>
  </si>
  <si>
    <t>2017 *)</t>
  </si>
  <si>
    <t>Siedlungs- und Verkehrsfläche (nach ALB)</t>
  </si>
  <si>
    <t>Siedlungs- und Verkehrsfläche (nach ALKIS)</t>
  </si>
  <si>
    <t>Siedlungsfläche (nach ALB)</t>
  </si>
  <si>
    <t>Siedlungsfläche (nach ALKIS)</t>
  </si>
  <si>
    <t>Normierung auf 1986 = 1,0</t>
  </si>
  <si>
    <t>kee-02-treibhausgase.csv</t>
  </si>
  <si>
    <t>uug-01-nox-emissionen.csv</t>
  </si>
  <si>
    <t>uug-02-no2-hintergrund.csv</t>
  </si>
  <si>
    <t>uug-03-pmx-hintergrund.csv</t>
  </si>
  <si>
    <t>uug-06-laerm-lnight.csv</t>
  </si>
  <si>
    <t>uug-04-o3-hintergrund.csv</t>
  </si>
  <si>
    <t>uug-05-laerm-lden.csv</t>
  </si>
  <si>
    <t>abw-01-haushaltsabfall.csv</t>
  </si>
  <si>
    <t>abw-02-recycling.csv</t>
  </si>
  <si>
    <t>abw-03-flaechenverbrauch.csv</t>
  </si>
  <si>
    <t>abw-04-siedlungsflaeche.csv</t>
  </si>
  <si>
    <t>abw-05-schwermetalleintrag.csv</t>
  </si>
  <si>
    <t>abw-06-fliessgewaesser.csv</t>
  </si>
  <si>
    <t>abw-07-nitrat-grundwasser.csv</t>
  </si>
  <si>
    <t>nlr-01-gef-arten.csv</t>
  </si>
  <si>
    <t>nlr-03-naturschutzflaechen.csv</t>
  </si>
  <si>
    <t>nlr-04-stickstoffeintrag.csv</t>
  </si>
  <si>
    <t>nlr-05-saeureeintreg.csv</t>
  </si>
  <si>
    <t>nlr-08-n-flaechenbilanz.csv</t>
  </si>
  <si>
    <t>nlr-09-hnv-flaechen.csv</t>
  </si>
  <si>
    <t>Einheit</t>
  </si>
  <si>
    <t>Nachkommastellen</t>
  </si>
  <si>
    <t>Natürliche Wasserkörper, &lt;br&gt;mäßiger, unbefriedigender &lt;br&gt;oder schlechter Zustand</t>
  </si>
  <si>
    <t>Natürliche Wasserkörper, &lt;br&gt;sehr guter oder &lt;br&gt;guter Zustand</t>
  </si>
  <si>
    <t>Künstliche oder veränderte &lt;br&gt;Wasserkörper, sehr gutes &lt;br&gt;oder gutes Potenzial</t>
  </si>
  <si>
    <t>Künstliche oder veränderte &lt;br&gt;Wasserkörper, mäßiges, &lt;br&gt;unbefriedigendes oder &lt;br&gt;schlechtes Potenzial</t>
  </si>
  <si>
    <t>kee-02-treibhausgase.png</t>
  </si>
  <si>
    <t>uug-01-nox-emissionen.png</t>
  </si>
  <si>
    <t>uug-02-no2-hintergrund.png</t>
  </si>
  <si>
    <t>uug-03-pmx-hintergrund.png</t>
  </si>
  <si>
    <t>uug-04-o3-hintergrund.png</t>
  </si>
  <si>
    <t>uug-05-laerm-lden.png</t>
  </si>
  <si>
    <t>uug-06-laerm-lnight.png</t>
  </si>
  <si>
    <t>abw-01-haushaltsabfall.png</t>
  </si>
  <si>
    <t>abw-02-recycling.png</t>
  </si>
  <si>
    <t>abw-03-flaechenverbrauch.png</t>
  </si>
  <si>
    <t>abw-04-siedlungsflaeche.png</t>
  </si>
  <si>
    <t>abw-05-schwermetalleintrag.png</t>
  </si>
  <si>
    <t>abw-06-fliessgewaesser.png</t>
  </si>
  <si>
    <t>abw-07-nitrat-grundwasser.png</t>
  </si>
  <si>
    <t>nlr-01-gef-arten.png</t>
  </si>
  <si>
    <t>nlr-03-naturschutzflaechen.png</t>
  </si>
  <si>
    <t>nlr-04-stickstoffeintrag.png</t>
  </si>
  <si>
    <t>nlr-05-saeureeintreg.png</t>
  </si>
  <si>
    <t>nlr-08-n-flaechenbilanz.png</t>
  </si>
  <si>
    <t>nlr-09-hnv-flaechen.png</t>
  </si>
  <si>
    <t>CSV-Dateiname</t>
  </si>
  <si>
    <t>Feinstaubemissionen</t>
  </si>
  <si>
    <t>uug-07-feinstaubemissionen.csv</t>
  </si>
  <si>
    <t>uug-07-feinstaubemissionen.png</t>
  </si>
  <si>
    <t>Industrie, PM2.5</t>
  </si>
  <si>
    <t>Kleinfeuerungsanlagen, PM2.5</t>
  </si>
  <si>
    <t>Verkehr, PM2.5</t>
  </si>
  <si>
    <t>Landwirtschaft, PM2.5</t>
  </si>
  <si>
    <t>Industrie,  PM10</t>
  </si>
  <si>
    <t>Kleinfeuerungsanlagen,  PM10</t>
  </si>
  <si>
    <t>Verkehr,  PM10</t>
  </si>
  <si>
    <t>Landwirtschaft,  PM10</t>
  </si>
  <si>
    <t>Achtung: Schreibweise in der Überschrift ist wichtig, die Anzahl Zeichen hinter dem Komma ist relevant!</t>
  </si>
  <si>
    <t>Grafikdarstellung im Auftritt</t>
  </si>
  <si>
    <t>zurück Zur Übersicht</t>
  </si>
  <si>
    <t>Bearbeitet</t>
  </si>
  <si>
    <t>2021</t>
  </si>
  <si>
    <t>QR-Code-Dateiname</t>
  </si>
  <si>
    <t>Kommentar 1</t>
  </si>
  <si>
    <t>Kommentar 2</t>
  </si>
  <si>
    <t>Kommentar 3</t>
  </si>
  <si>
    <t>Kommentar 4</t>
  </si>
  <si>
    <t>Summe Haushaltsabfälle</t>
  </si>
  <si>
    <t>Hausmüll</t>
  </si>
  <si>
    <t>Bio- und Grünabfälle</t>
  </si>
  <si>
    <t>130,1</t>
  </si>
  <si>
    <t>Column1</t>
  </si>
  <si>
    <t/>
  </si>
  <si>
    <t>1991-1994</t>
  </si>
  <si>
    <t>1996-1999</t>
  </si>
  <si>
    <t>2001-2004</t>
  </si>
  <si>
    <t>159,4</t>
  </si>
  <si>
    <t>164,8</t>
  </si>
  <si>
    <t>159,2</t>
  </si>
  <si>
    <t>174,4</t>
  </si>
  <si>
    <t>179,4</t>
  </si>
  <si>
    <t>185,6</t>
  </si>
  <si>
    <t>176,2</t>
  </si>
  <si>
    <t>157,6</t>
  </si>
  <si>
    <t>167,2</t>
  </si>
  <si>
    <t>166,6</t>
  </si>
  <si>
    <t>168,9</t>
  </si>
  <si>
    <t>170,3</t>
  </si>
  <si>
    <t>160,9</t>
  </si>
  <si>
    <t>150,9</t>
  </si>
  <si>
    <t>150,4</t>
  </si>
  <si>
    <t>138,3</t>
  </si>
  <si>
    <t>94,5</t>
  </si>
  <si>
    <t>80,4</t>
  </si>
  <si>
    <t>90,8</t>
  </si>
  <si>
    <t>94,3</t>
  </si>
  <si>
    <t>80,1</t>
  </si>
  <si>
    <t>70,8</t>
  </si>
  <si>
    <t>62,7</t>
  </si>
  <si>
    <t>63,5</t>
  </si>
  <si>
    <t>62,4</t>
  </si>
  <si>
    <t>60,3</t>
  </si>
  <si>
    <t>47,5</t>
  </si>
  <si>
    <t>57,0</t>
  </si>
  <si>
    <t>55,3</t>
  </si>
  <si>
    <t>53,6</t>
  </si>
  <si>
    <t>54,6</t>
  </si>
  <si>
    <t>54,5</t>
  </si>
  <si>
    <t>54,7</t>
  </si>
  <si>
    <t>54,4</t>
  </si>
  <si>
    <t>58,8</t>
  </si>
  <si>
    <t>54,3</t>
  </si>
  <si>
    <t>58,4</t>
  </si>
  <si>
    <t>36,2</t>
  </si>
  <si>
    <t>38,3</t>
  </si>
  <si>
    <t>39,8</t>
  </si>
  <si>
    <t>36,7</t>
  </si>
  <si>
    <t>36,1</t>
  </si>
  <si>
    <t>35,1</t>
  </si>
  <si>
    <t>35,0</t>
  </si>
  <si>
    <t>34,5</t>
  </si>
  <si>
    <t>32,6</t>
  </si>
  <si>
    <t>33,0</t>
  </si>
  <si>
    <t>33,1</t>
  </si>
  <si>
    <t>31,9</t>
  </si>
  <si>
    <t>32,2</t>
  </si>
  <si>
    <t>32,3</t>
  </si>
  <si>
    <t>33,4</t>
  </si>
  <si>
    <t>33,7</t>
  </si>
  <si>
    <t>32,7</t>
  </si>
  <si>
    <t>31,4</t>
  </si>
  <si>
    <t>30,0</t>
  </si>
  <si>
    <t>30,1</t>
  </si>
  <si>
    <t>37,3</t>
  </si>
  <si>
    <t>43,6</t>
  </si>
  <si>
    <t>40,9</t>
  </si>
  <si>
    <t>35,7</t>
  </si>
  <si>
    <t>37,8</t>
  </si>
  <si>
    <t>29,7</t>
  </si>
  <si>
    <t>37,5</t>
  </si>
  <si>
    <t>34,8</t>
  </si>
  <si>
    <t>28,6</t>
  </si>
  <si>
    <t>32,0</t>
  </si>
  <si>
    <t>29,0</t>
  </si>
  <si>
    <t>29,9</t>
  </si>
  <si>
    <t>30,3</t>
  </si>
  <si>
    <t>28,3</t>
  </si>
  <si>
    <t>28,5</t>
  </si>
  <si>
    <t>26,4</t>
  </si>
  <si>
    <t>25,5</t>
  </si>
  <si>
    <t>23,4</t>
  </si>
  <si>
    <t>17,6</t>
  </si>
  <si>
    <t>14,1</t>
  </si>
  <si>
    <t>7,1</t>
  </si>
  <si>
    <t>6,4</t>
  </si>
  <si>
    <t>6,2</t>
  </si>
  <si>
    <t>6,1</t>
  </si>
  <si>
    <t>4,5</t>
  </si>
  <si>
    <t>4,3</t>
  </si>
  <si>
    <t>4,1</t>
  </si>
  <si>
    <t>4,8</t>
  </si>
  <si>
    <t>5,0</t>
  </si>
  <si>
    <t>3,8</t>
  </si>
  <si>
    <t>4,0</t>
  </si>
  <si>
    <t>3,3</t>
  </si>
  <si>
    <t>3,5</t>
  </si>
  <si>
    <t>1,9</t>
  </si>
  <si>
    <t>3,6</t>
  </si>
  <si>
    <t>3,7</t>
  </si>
  <si>
    <t>3,9</t>
  </si>
  <si>
    <t>4,2</t>
  </si>
  <si>
    <t>7,7</t>
  </si>
  <si>
    <t>7,2</t>
  </si>
  <si>
    <t>6,9</t>
  </si>
  <si>
    <t>6,7</t>
  </si>
  <si>
    <t>6,5</t>
  </si>
  <si>
    <t>6,6</t>
  </si>
  <si>
    <t>6,8</t>
  </si>
  <si>
    <t>7,0</t>
  </si>
  <si>
    <t>5,2</t>
  </si>
  <si>
    <t>2,4</t>
  </si>
  <si>
    <t>1,8</t>
  </si>
  <si>
    <t>1,5</t>
  </si>
  <si>
    <t>1,2</t>
  </si>
  <si>
    <t>1,1</t>
  </si>
  <si>
    <t>1,0</t>
  </si>
  <si>
    <t>0,9</t>
  </si>
  <si>
    <t>0,8</t>
  </si>
  <si>
    <t>0,7</t>
  </si>
  <si>
    <t>0,6</t>
  </si>
  <si>
    <t>0,5</t>
  </si>
  <si>
    <t>5,4</t>
  </si>
  <si>
    <t>5,8</t>
  </si>
  <si>
    <t>4,7</t>
  </si>
  <si>
    <t>8,9</t>
  </si>
  <si>
    <t>12,7</t>
  </si>
  <si>
    <t>14,2</t>
  </si>
  <si>
    <t>16,7</t>
  </si>
  <si>
    <t>33</t>
  </si>
  <si>
    <t>36</t>
  </si>
  <si>
    <t>42</t>
  </si>
  <si>
    <t>0</t>
  </si>
  <si>
    <t>1</t>
  </si>
  <si>
    <t>2</t>
  </si>
  <si>
    <t>4</t>
  </si>
  <si>
    <t>6</t>
  </si>
  <si>
    <t>9</t>
  </si>
  <si>
    <t>13</t>
  </si>
  <si>
    <t>20</t>
  </si>
  <si>
    <t>35</t>
  </si>
  <si>
    <t>47</t>
  </si>
  <si>
    <t>211</t>
  </si>
  <si>
    <t>18,6</t>
  </si>
  <si>
    <t>15,5</t>
  </si>
  <si>
    <t>14,0</t>
  </si>
  <si>
    <t>14,9</t>
  </si>
  <si>
    <t>105</t>
  </si>
  <si>
    <t>100</t>
  </si>
  <si>
    <t>222,0</t>
  </si>
  <si>
    <t>202,0</t>
  </si>
  <si>
    <t>189,60</t>
  </si>
  <si>
    <t>173,96</t>
  </si>
  <si>
    <t>162,70</t>
  </si>
  <si>
    <t>150,70</t>
  </si>
  <si>
    <t>103,05</t>
  </si>
  <si>
    <t>Kleinfeuerungsanlagen</t>
  </si>
  <si>
    <t>21,80</t>
  </si>
  <si>
    <t>19,25</t>
  </si>
  <si>
    <t>15,11</t>
  </si>
  <si>
    <t>14,91</t>
  </si>
  <si>
    <t>14,68</t>
  </si>
  <si>
    <t>220,54</t>
  </si>
  <si>
    <t>225,44</t>
  </si>
  <si>
    <t>172,27</t>
  </si>
  <si>
    <t>136,07</t>
  </si>
  <si>
    <t>105,56</t>
  </si>
  <si>
    <t>102,06</t>
  </si>
  <si>
    <t>79,40</t>
  </si>
  <si>
    <t>13,0</t>
  </si>
  <si>
    <t>13,17</t>
  </si>
  <si>
    <t>12,51</t>
  </si>
  <si>
    <t>12,30</t>
  </si>
  <si>
    <t>13,02</t>
  </si>
  <si>
    <t>13,54</t>
  </si>
  <si>
    <t>11,86</t>
  </si>
  <si>
    <t>38</t>
  </si>
  <si>
    <t>40</t>
  </si>
  <si>
    <t>39</t>
  </si>
  <si>
    <t>34</t>
  </si>
  <si>
    <t>32</t>
  </si>
  <si>
    <t>30</t>
  </si>
  <si>
    <t>31</t>
  </si>
  <si>
    <t>29</t>
  </si>
  <si>
    <t>27</t>
  </si>
  <si>
    <t>28</t>
  </si>
  <si>
    <t>26</t>
  </si>
  <si>
    <t>25</t>
  </si>
  <si>
    <t>24</t>
  </si>
  <si>
    <t>23</t>
  </si>
  <si>
    <t>22</t>
  </si>
  <si>
    <t>17</t>
  </si>
  <si>
    <t>18</t>
  </si>
  <si>
    <t>Industrie   PM2.5</t>
  </si>
  <si>
    <t xml:space="preserve"> Kleinfeuerungsanlagen   PM2.5</t>
  </si>
  <si>
    <t xml:space="preserve"> Verkehr   PM2.5</t>
  </si>
  <si>
    <t xml:space="preserve"> Landwirtschaft   PM2.5</t>
  </si>
  <si>
    <t xml:space="preserve"> Industrie   PM10</t>
  </si>
  <si>
    <t xml:space="preserve"> Kleinfeuerungsanlagen   PM10</t>
  </si>
  <si>
    <t xml:space="preserve"> Verkehr   PM10</t>
  </si>
  <si>
    <t xml:space="preserve"> Landwirtschaft   PM10</t>
  </si>
  <si>
    <t>26,000</t>
  </si>
  <si>
    <t>2,900</t>
  </si>
  <si>
    <t>34,000</t>
  </si>
  <si>
    <t>3,241</t>
  </si>
  <si>
    <t>20,000</t>
  </si>
  <si>
    <t>1,900</t>
  </si>
  <si>
    <t>3,170</t>
  </si>
  <si>
    <t>6,474</t>
  </si>
  <si>
    <t>1,909</t>
  </si>
  <si>
    <t>5,383</t>
  </si>
  <si>
    <t>0,452</t>
  </si>
  <si>
    <t>17,000</t>
  </si>
  <si>
    <t>2,000</t>
  </si>
  <si>
    <t>9,328</t>
  </si>
  <si>
    <t>3,162</t>
  </si>
  <si>
    <t>4,663</t>
  </si>
  <si>
    <t>2,014</t>
  </si>
  <si>
    <t>4,902</t>
  </si>
  <si>
    <t>0,464</t>
  </si>
  <si>
    <t>11,000</t>
  </si>
  <si>
    <t>2,300</t>
  </si>
  <si>
    <t>11,936</t>
  </si>
  <si>
    <t>3,255</t>
  </si>
  <si>
    <t>3,963</t>
  </si>
  <si>
    <t>2,524</t>
  </si>
  <si>
    <t>3,792</t>
  </si>
  <si>
    <t>0,478</t>
  </si>
  <si>
    <t>9,000</t>
  </si>
  <si>
    <t>2,660</t>
  </si>
  <si>
    <t>9,610</t>
  </si>
  <si>
    <t>3,345</t>
  </si>
  <si>
    <t>2,911</t>
  </si>
  <si>
    <t>1,801</t>
  </si>
  <si>
    <t>3,539</t>
  </si>
  <si>
    <t>0,491</t>
  </si>
  <si>
    <t>8,150</t>
  </si>
  <si>
    <t>1,910</t>
  </si>
  <si>
    <t>8,990</t>
  </si>
  <si>
    <t>3,355</t>
  </si>
  <si>
    <t>2,084</t>
  </si>
  <si>
    <t>2,268</t>
  </si>
  <si>
    <t>3,598</t>
  </si>
  <si>
    <t>0,467</t>
  </si>
  <si>
    <t>5,860</t>
  </si>
  <si>
    <t>2,380</t>
  </si>
  <si>
    <t>8,330</t>
  </si>
  <si>
    <t>3,263</t>
  </si>
  <si>
    <t>21</t>
  </si>
  <si>
    <t>19</t>
  </si>
  <si>
    <t>16</t>
  </si>
  <si>
    <t>15</t>
  </si>
  <si>
    <t>10</t>
  </si>
  <si>
    <t>11</t>
  </si>
  <si>
    <t>43</t>
  </si>
  <si>
    <t>12</t>
  </si>
  <si>
    <t>37</t>
  </si>
  <si>
    <t>5</t>
  </si>
  <si>
    <t>3</t>
  </si>
  <si>
    <t>14</t>
  </si>
  <si>
    <t>8</t>
  </si>
  <si>
    <t>646200</t>
  </si>
  <si>
    <t>128600</t>
  </si>
  <si>
    <t>62400</t>
  </si>
  <si>
    <t>1800</t>
  </si>
  <si>
    <t>600</t>
  </si>
  <si>
    <t>131300</t>
  </si>
  <si>
    <t>87300</t>
  </si>
  <si>
    <t>1600</t>
  </si>
  <si>
    <t>2200</t>
  </si>
  <si>
    <t>722200</t>
  </si>
  <si>
    <t>273000</t>
  </si>
  <si>
    <t>87500</t>
  </si>
  <si>
    <t>5600</t>
  </si>
  <si>
    <t>1700</t>
  </si>
  <si>
    <t>159400</t>
  </si>
  <si>
    <t>194800</t>
  </si>
  <si>
    <t>2400</t>
  </si>
  <si>
    <t>7600</t>
  </si>
  <si>
    <t>460</t>
  </si>
  <si>
    <t>468</t>
  </si>
  <si>
    <t>472</t>
  </si>
  <si>
    <t>467</t>
  </si>
  <si>
    <t>480</t>
  </si>
  <si>
    <t>478</t>
  </si>
  <si>
    <t>466</t>
  </si>
  <si>
    <t>469</t>
  </si>
  <si>
    <t>454</t>
  </si>
  <si>
    <t>464</t>
  </si>
  <si>
    <t>462</t>
  </si>
  <si>
    <t>470</t>
  </si>
  <si>
    <t>465</t>
  </si>
  <si>
    <t>458</t>
  </si>
  <si>
    <t>456</t>
  </si>
  <si>
    <t>481</t>
  </si>
  <si>
    <t>492</t>
  </si>
  <si>
    <t>286</t>
  </si>
  <si>
    <t>277</t>
  </si>
  <si>
    <t>269</t>
  </si>
  <si>
    <t>258</t>
  </si>
  <si>
    <t>251</t>
  </si>
  <si>
    <t>245</t>
  </si>
  <si>
    <t>237</t>
  </si>
  <si>
    <t>233</t>
  </si>
  <si>
    <t>225</t>
  </si>
  <si>
    <t>229</t>
  </si>
  <si>
    <t>228</t>
  </si>
  <si>
    <t>226</t>
  </si>
  <si>
    <t>223</t>
  </si>
  <si>
    <t>222</t>
  </si>
  <si>
    <t>219</t>
  </si>
  <si>
    <t>213</t>
  </si>
  <si>
    <t>216</t>
  </si>
  <si>
    <t>212</t>
  </si>
  <si>
    <t>210</t>
  </si>
  <si>
    <t>224</t>
  </si>
  <si>
    <t>231</t>
  </si>
  <si>
    <t>Bio- und Grünabfälle sowie werthaltige Abfälle</t>
  </si>
  <si>
    <t>174</t>
  </si>
  <si>
    <t>191</t>
  </si>
  <si>
    <t>203</t>
  </si>
  <si>
    <t>209</t>
  </si>
  <si>
    <t>236</t>
  </si>
  <si>
    <t>235</t>
  </si>
  <si>
    <t>234</t>
  </si>
  <si>
    <t>242</t>
  </si>
  <si>
    <t>246</t>
  </si>
  <si>
    <t>241</t>
  </si>
  <si>
    <t>253</t>
  </si>
  <si>
    <t>249</t>
  </si>
  <si>
    <t>264</t>
  </si>
  <si>
    <t>256</t>
  </si>
  <si>
    <t>260</t>
  </si>
  <si>
    <t>257</t>
  </si>
  <si>
    <t>261</t>
  </si>
  <si>
    <t>41</t>
  </si>
  <si>
    <t>44</t>
  </si>
  <si>
    <t>45</t>
  </si>
  <si>
    <t>46</t>
  </si>
  <si>
    <t>48</t>
  </si>
  <si>
    <t>49</t>
  </si>
  <si>
    <t>50</t>
  </si>
  <si>
    <t>51</t>
  </si>
  <si>
    <t>13,3</t>
  </si>
  <si>
    <t>16,0</t>
  </si>
  <si>
    <t>15,2</t>
  </si>
  <si>
    <t>19,3</t>
  </si>
  <si>
    <t>15,3</t>
  </si>
  <si>
    <t>16,3</t>
  </si>
  <si>
    <t>19,7</t>
  </si>
  <si>
    <t>14,4</t>
  </si>
  <si>
    <t>15,0</t>
  </si>
  <si>
    <t>9,1</t>
  </si>
  <si>
    <t>11,5</t>
  </si>
  <si>
    <t>10,0</t>
  </si>
  <si>
    <t>10,4</t>
  </si>
  <si>
    <t>9,3</t>
  </si>
  <si>
    <t>9,0</t>
  </si>
  <si>
    <t>10,1</t>
  </si>
  <si>
    <t>11,8</t>
  </si>
  <si>
    <t>0,0</t>
  </si>
  <si>
    <t>6,3</t>
  </si>
  <si>
    <t>8,1</t>
  </si>
  <si>
    <t>5,7</t>
  </si>
  <si>
    <t>262,0</t>
  </si>
  <si>
    <t>265,0</t>
  </si>
  <si>
    <t>268,0</t>
  </si>
  <si>
    <t>271,0</t>
  </si>
  <si>
    <t>273,0</t>
  </si>
  <si>
    <t>276,0</t>
  </si>
  <si>
    <t>278,0</t>
  </si>
  <si>
    <t>279,0</t>
  </si>
  <si>
    <t>283,0</t>
  </si>
  <si>
    <t>285,0</t>
  </si>
  <si>
    <t>288,0</t>
  </si>
  <si>
    <t>291,0</t>
  </si>
  <si>
    <t>294,0</t>
  </si>
  <si>
    <t>297,0</t>
  </si>
  <si>
    <t>299,0</t>
  </si>
  <si>
    <t>301,0</t>
  </si>
  <si>
    <t>302,0</t>
  </si>
  <si>
    <t>303,0</t>
  </si>
  <si>
    <t>304,0</t>
  </si>
  <si>
    <t>306,0</t>
  </si>
  <si>
    <t>307,0</t>
  </si>
  <si>
    <t>308,0</t>
  </si>
  <si>
    <t>1,00</t>
  </si>
  <si>
    <t>1,07</t>
  </si>
  <si>
    <t>0,78</t>
  </si>
  <si>
    <t>0,72</t>
  </si>
  <si>
    <t>0,67</t>
  </si>
  <si>
    <t>0,59</t>
  </si>
  <si>
    <t>0,60</t>
  </si>
  <si>
    <t>0,52</t>
  </si>
  <si>
    <t>0,48</t>
  </si>
  <si>
    <t>0,47</t>
  </si>
  <si>
    <t>0,43</t>
  </si>
  <si>
    <t>0,51</t>
  </si>
  <si>
    <t>0,32</t>
  </si>
  <si>
    <t>0,35</t>
  </si>
  <si>
    <t>0,29</t>
  </si>
  <si>
    <t>0,30</t>
  </si>
  <si>
    <t>0,25</t>
  </si>
  <si>
    <t>0,36</t>
  </si>
  <si>
    <t>0,27</t>
  </si>
  <si>
    <t>0,20</t>
  </si>
  <si>
    <t>0,17</t>
  </si>
  <si>
    <t>0,15</t>
  </si>
  <si>
    <t>0,13</t>
  </si>
  <si>
    <t>0,12</t>
  </si>
  <si>
    <t>0,10</t>
  </si>
  <si>
    <t>0,08</t>
  </si>
  <si>
    <t>0,11</t>
  </si>
  <si>
    <t>Künstliche oder veränderte Wasserkörper, mäßiges, unbefriedigendes oder schlechtes Potenzial</t>
  </si>
  <si>
    <t>53,9</t>
  </si>
  <si>
    <t>Natürliche Wasserkörper, mäßiger, unbefriedigender oder schlechter Zustand</t>
  </si>
  <si>
    <t>35,9</t>
  </si>
  <si>
    <t>Künstliche oder veränderte Wasserkörper, sehr gutes oder gutes Potenzial</t>
  </si>
  <si>
    <t>1,6</t>
  </si>
  <si>
    <t>Natürliche Wasserkörper, sehr guter oder guter Zustand</t>
  </si>
  <si>
    <t>8,8</t>
  </si>
  <si>
    <t>17,9</t>
  </si>
  <si>
    <t>17,1</t>
  </si>
  <si>
    <t>15,7</t>
  </si>
  <si>
    <t>16,9</t>
  </si>
  <si>
    <t>15,9</t>
  </si>
  <si>
    <t>16,5</t>
  </si>
  <si>
    <t>13,5</t>
  </si>
  <si>
    <t>12,2</t>
  </si>
  <si>
    <t>14,6</t>
  </si>
  <si>
    <t>14,7</t>
  </si>
  <si>
    <t xml:space="preserve">1979 </t>
  </si>
  <si>
    <t>2960 Arten"</t>
  </si>
  <si>
    <t>11,1</t>
  </si>
  <si>
    <t>62,2</t>
  </si>
  <si>
    <t xml:space="preserve">1986 </t>
  </si>
  <si>
    <t>2964 Arten"</t>
  </si>
  <si>
    <t>10,9</t>
  </si>
  <si>
    <t>56,9</t>
  </si>
  <si>
    <t xml:space="preserve">1999 </t>
  </si>
  <si>
    <t>3041 Arten"</t>
  </si>
  <si>
    <t>8,2</t>
  </si>
  <si>
    <t>2,6</t>
  </si>
  <si>
    <t>51,4</t>
  </si>
  <si>
    <t xml:space="preserve">2011 </t>
  </si>
  <si>
    <t>3088 Arten"</t>
  </si>
  <si>
    <t>9,4</t>
  </si>
  <si>
    <t>1,7</t>
  </si>
  <si>
    <t>8,7</t>
  </si>
  <si>
    <t>11,9</t>
  </si>
  <si>
    <t>53,4</t>
  </si>
  <si>
    <t>81</t>
  </si>
  <si>
    <t>75</t>
  </si>
  <si>
    <t>87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</si>
  <si>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</si>
  <si>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</si>
  <si>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</si>
  <si>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</si>
  <si>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</si>
  <si>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</si>
  <si>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</si>
  <si>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</si>
  <si>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</si>
  <si>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</si>
  <si>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</si>
  <si>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</si>
  <si>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</si>
  <si>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</si>
  <si>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</si>
  <si>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</si>
  <si>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</si>
  <si>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</si>
  <si>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</si>
  <si>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</si>
  <si>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</si>
  <si>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</si>
  <si>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</si>
  <si>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</si>
  <si>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</si>
  <si>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</si>
  <si>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</si>
  <si>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</si>
  <si>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</si>
  <si>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</si>
  <si>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</si>
  <si>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0,00</t>
  </si>
  <si>
    <t>0,01</t>
  </si>
  <si>
    <t>0,23</t>
  </si>
  <si>
    <t>0,24</t>
  </si>
  <si>
    <t>0,31</t>
  </si>
  <si>
    <t>0,33</t>
  </si>
  <si>
    <t>0,38</t>
  </si>
  <si>
    <t>0,54</t>
  </si>
  <si>
    <t>0,55</t>
  </si>
  <si>
    <t>0,56</t>
  </si>
  <si>
    <t>0,57</t>
  </si>
  <si>
    <t>0,61</t>
  </si>
  <si>
    <t>0,62</t>
  </si>
  <si>
    <t>0,64</t>
  </si>
  <si>
    <t>0,69</t>
  </si>
  <si>
    <t>0,70</t>
  </si>
  <si>
    <t>0,71</t>
  </si>
  <si>
    <t>0,73</t>
  </si>
  <si>
    <t>0,74</t>
  </si>
  <si>
    <t>0,75</t>
  </si>
  <si>
    <t>0,76</t>
  </si>
  <si>
    <t>0,77</t>
  </si>
  <si>
    <t>0,84</t>
  </si>
  <si>
    <t>0,86</t>
  </si>
  <si>
    <t>0,89</t>
  </si>
  <si>
    <t>0,90</t>
  </si>
  <si>
    <t>0,92</t>
  </si>
  <si>
    <t>0,93</t>
  </si>
  <si>
    <t>0,94</t>
  </si>
  <si>
    <t>0,96</t>
  </si>
  <si>
    <t>1,04</t>
  </si>
  <si>
    <t>1,41</t>
  </si>
  <si>
    <t>1,53</t>
  </si>
  <si>
    <t>1,69</t>
  </si>
  <si>
    <t>1,74</t>
  </si>
  <si>
    <t>1,86</t>
  </si>
  <si>
    <t>2,02</t>
  </si>
  <si>
    <t>2,17</t>
  </si>
  <si>
    <t>2,45</t>
  </si>
  <si>
    <t>2,71</t>
  </si>
  <si>
    <t>2,88</t>
  </si>
  <si>
    <t>3,22</t>
  </si>
  <si>
    <t>3,47</t>
  </si>
  <si>
    <t>3,70</t>
  </si>
  <si>
    <t>3,87</t>
  </si>
  <si>
    <t>4,03</t>
  </si>
  <si>
    <t>4,16</t>
  </si>
  <si>
    <t>4,44</t>
  </si>
  <si>
    <t>4,56</t>
  </si>
  <si>
    <t>4,71</t>
  </si>
  <si>
    <t>4,88</t>
  </si>
  <si>
    <t>5,10</t>
  </si>
  <si>
    <t>5,44</t>
  </si>
  <si>
    <t>5,70</t>
  </si>
  <si>
    <t>6,51</t>
  </si>
  <si>
    <t>7,03</t>
  </si>
  <si>
    <t>7,34</t>
  </si>
  <si>
    <t>7,54</t>
  </si>
  <si>
    <t>7,56</t>
  </si>
  <si>
    <t>7,73</t>
  </si>
  <si>
    <t>7,85</t>
  </si>
  <si>
    <t>7,90</t>
  </si>
  <si>
    <t>8,00</t>
  </si>
  <si>
    <t>8,04</t>
  </si>
  <si>
    <t>8,10</t>
  </si>
  <si>
    <t>8,30</t>
  </si>
  <si>
    <t>8,40</t>
  </si>
  <si>
    <t>8,46</t>
  </si>
  <si>
    <t>8,41</t>
  </si>
  <si>
    <t>8,71</t>
  </si>
  <si>
    <t>26,0</t>
  </si>
  <si>
    <t>27,7</t>
  </si>
  <si>
    <t>26,5</t>
  </si>
  <si>
    <t>30,4</t>
  </si>
  <si>
    <t>28,0</t>
  </si>
  <si>
    <t>26,9</t>
  </si>
  <si>
    <t>29,6</t>
  </si>
  <si>
    <t>28,8</t>
  </si>
  <si>
    <t>28,2</t>
  </si>
  <si>
    <t>31,8</t>
  </si>
  <si>
    <t>27,5</t>
  </si>
  <si>
    <t>27,8</t>
  </si>
  <si>
    <t>28,1</t>
  </si>
  <si>
    <t>26,7</t>
  </si>
  <si>
    <t>24,4</t>
  </si>
  <si>
    <t>23,7</t>
  </si>
  <si>
    <t>21,5</t>
  </si>
  <si>
    <t>20,7</t>
  </si>
  <si>
    <t>22,6</t>
  </si>
  <si>
    <t>21,2</t>
  </si>
  <si>
    <t>22,0</t>
  </si>
  <si>
    <t>20,9</t>
  </si>
  <si>
    <t>22,1</t>
  </si>
  <si>
    <t>21,3</t>
  </si>
  <si>
    <t>20,4</t>
  </si>
  <si>
    <t>18,1</t>
  </si>
  <si>
    <t>18,5</t>
  </si>
  <si>
    <t>19,5</t>
  </si>
  <si>
    <t>21,0</t>
  </si>
  <si>
    <t>20,6</t>
  </si>
  <si>
    <t>20,5</t>
  </si>
  <si>
    <t>14,8</t>
  </si>
  <si>
    <t>3,73</t>
  </si>
  <si>
    <t>3,97</t>
  </si>
  <si>
    <t>3,61</t>
  </si>
  <si>
    <t>3,90</t>
  </si>
  <si>
    <t>4,20</t>
  </si>
  <si>
    <t>3,83</t>
  </si>
  <si>
    <t>3,57</t>
  </si>
  <si>
    <t>2,55</t>
  </si>
  <si>
    <t>2,61</t>
  </si>
  <si>
    <t>3,01</t>
  </si>
  <si>
    <t>2,67</t>
  </si>
  <si>
    <t>2,42</t>
  </si>
  <si>
    <t>2,81</t>
  </si>
  <si>
    <t>2,46</t>
  </si>
  <si>
    <t>2,54</t>
  </si>
  <si>
    <t>2,66</t>
  </si>
  <si>
    <t>2,29</t>
  </si>
  <si>
    <t>2,43</t>
  </si>
  <si>
    <t>2,22</t>
  </si>
  <si>
    <t>2,26</t>
  </si>
  <si>
    <t>1,89</t>
  </si>
  <si>
    <t>1,92</t>
  </si>
  <si>
    <t>1,78</t>
  </si>
  <si>
    <t>1,79</t>
  </si>
  <si>
    <t>1,46</t>
  </si>
  <si>
    <t>1,70</t>
  </si>
  <si>
    <t>1,76</t>
  </si>
  <si>
    <t>1,64</t>
  </si>
  <si>
    <t>1,40</t>
  </si>
  <si>
    <t>1,47</t>
  </si>
  <si>
    <t>1,44</t>
  </si>
  <si>
    <t>1,49</t>
  </si>
  <si>
    <t>1,19</t>
  </si>
  <si>
    <t>1,12</t>
  </si>
  <si>
    <t>0,79</t>
  </si>
  <si>
    <t>102</t>
  </si>
  <si>
    <t>93</t>
  </si>
  <si>
    <t>92</t>
  </si>
  <si>
    <t>107</t>
  </si>
  <si>
    <t>95</t>
  </si>
  <si>
    <t>117</t>
  </si>
  <si>
    <t>85</t>
  </si>
  <si>
    <t>89</t>
  </si>
  <si>
    <t>83</t>
  </si>
  <si>
    <t>91</t>
  </si>
  <si>
    <t>98</t>
  </si>
  <si>
    <t>90</t>
  </si>
  <si>
    <t>96</t>
  </si>
  <si>
    <t>109</t>
  </si>
  <si>
    <t>97</t>
  </si>
  <si>
    <t>101</t>
  </si>
  <si>
    <t>104</t>
  </si>
  <si>
    <t>84</t>
  </si>
  <si>
    <t>7,6</t>
  </si>
  <si>
    <t>2,1</t>
  </si>
  <si>
    <t>4,6</t>
  </si>
  <si>
    <t>2,2</t>
  </si>
  <si>
    <t>5,9</t>
  </si>
  <si>
    <t>4,9</t>
  </si>
  <si>
    <t>2,5</t>
  </si>
  <si>
    <t>Hinweis zu den Daten</t>
  </si>
  <si>
    <t>In dieser Excel Arbeitsmappe sind Power-Query Abfragen enthalten die auf die Daten der angezeigten Grafiken verweisen</t>
  </si>
  <si>
    <t>Durch Aufruf der Abfragen können die jeweils aktuellen Daten nachgefragt werden.</t>
  </si>
  <si>
    <t>Diese Daten werden (als Text formatiert!) in den grün formatierten Tabellen angezeigt</t>
  </si>
  <si>
    <t>Auf diesem Weg lassen sich die jeweis aktuellen Werte auch mit "alten" Versionen dieses Dokumentes aktualisieren</t>
  </si>
  <si>
    <t>und diese Daten einlesen können. (Das funktioniert nur in MS Excel)</t>
  </si>
  <si>
    <t>2022</t>
  </si>
  <si>
    <t>8,81</t>
  </si>
  <si>
    <t>0,09</t>
  </si>
  <si>
    <t>0,06</t>
  </si>
  <si>
    <t>82</t>
  </si>
  <si>
    <t>110</t>
  </si>
  <si>
    <t>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</si>
</sst>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164" fontId="0" fillId="3" borderId="0" xfId="0" applyNumberFormat="1" applyFill="1"/>
    <xf numFmtId="164" fontId="0" fillId="0" borderId="0" xfId="0" applyNumberFormat="1" applyAlignment="1">
      <alignment wrapText="1"/>
    </xf>
    <xf numFmtId="165" fontId="0" fillId="0" borderId="0" xfId="0" applyNumberFormat="1"/>
    <xf numFmtId="0" fontId="0" fillId="0" borderId="0" xfId="0" applyNumberFormat="1" applyAlignment="1">
      <alignment wrapText="1"/>
    </xf>
    <xf numFmtId="0" fontId="3" fillId="0" borderId="0" xfId="0" applyFont="1"/>
    <xf numFmtId="0" fontId="4" fillId="0" borderId="0" xfId="1"/>
    <xf numFmtId="0" fontId="6" fillId="0" borderId="0" xfId="0" applyFont="1"/>
    <xf numFmtId="164" fontId="6" fillId="0" borderId="0" xfId="0" applyNumberFormat="1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8" fillId="2" borderId="1" xfId="1" applyFont="1" applyFill="1" applyBorder="1" applyAlignment="1">
      <alignment vertical="center"/>
    </xf>
    <xf numFmtId="1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0" fillId="0" borderId="0" xfId="0" applyNumberFormat="1"/>
    <xf numFmtId="14" fontId="9" fillId="0" borderId="0" xfId="0" applyNumberFormat="1" applyFont="1" applyAlignment="1">
      <alignment horizontal="left"/>
    </xf>
  </cellXfs>
  <cellStyles count="2">
    <cellStyle name="Link" xfId="1" builtinId="8"/>
    <cellStyle name="Standard" xfId="0" builtinId="0"/>
  </cellStyles>
  <dxfs count="54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Treibhausgasemissionen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Treibhausgase!$A$8</c:f>
              <c:strCache>
                <c:ptCount val="1"/>
                <c:pt idx="0">
                  <c:v>Energiewirtschaft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Treibhausgase!$B$7:$X$7</c:f>
              <c:strCache>
                <c:ptCount val="23"/>
                <c:pt idx="0">
                  <c:v>1990</c:v>
                </c:pt>
                <c:pt idx="1">
                  <c:v>1991-1994</c:v>
                </c:pt>
                <c:pt idx="2">
                  <c:v>1995</c:v>
                </c:pt>
                <c:pt idx="3">
                  <c:v>1996-1999</c:v>
                </c:pt>
                <c:pt idx="4">
                  <c:v>2000</c:v>
                </c:pt>
                <c:pt idx="5">
                  <c:v>2001-2004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strCache>
            </c:strRef>
          </c:cat>
          <c:val>
            <c:numRef>
              <c:f>Treibhausgase!$B$8:$X$8</c:f>
              <c:numCache>
                <c:formatCode>0.0</c:formatCode>
                <c:ptCount val="23"/>
                <c:pt idx="0">
                  <c:v>159.4</c:v>
                </c:pt>
                <c:pt idx="1">
                  <c:v>0</c:v>
                </c:pt>
                <c:pt idx="2">
                  <c:v>164.8</c:v>
                </c:pt>
                <c:pt idx="3">
                  <c:v>0</c:v>
                </c:pt>
                <c:pt idx="4">
                  <c:v>159.19999999999999</c:v>
                </c:pt>
                <c:pt idx="5">
                  <c:v>0</c:v>
                </c:pt>
                <c:pt idx="6">
                  <c:v>174.4</c:v>
                </c:pt>
                <c:pt idx="7">
                  <c:v>179.4</c:v>
                </c:pt>
                <c:pt idx="8">
                  <c:v>185.6</c:v>
                </c:pt>
                <c:pt idx="9">
                  <c:v>176.2</c:v>
                </c:pt>
                <c:pt idx="10">
                  <c:v>157.6</c:v>
                </c:pt>
                <c:pt idx="11">
                  <c:v>167.2</c:v>
                </c:pt>
                <c:pt idx="12">
                  <c:v>166.6</c:v>
                </c:pt>
                <c:pt idx="13">
                  <c:v>168.9</c:v>
                </c:pt>
                <c:pt idx="14">
                  <c:v>170.3</c:v>
                </c:pt>
                <c:pt idx="15">
                  <c:v>160.9</c:v>
                </c:pt>
                <c:pt idx="16">
                  <c:v>150.9</c:v>
                </c:pt>
                <c:pt idx="17">
                  <c:v>150.4</c:v>
                </c:pt>
                <c:pt idx="18">
                  <c:v>138.30000000000001</c:v>
                </c:pt>
                <c:pt idx="19">
                  <c:v>130.1</c:v>
                </c:pt>
                <c:pt idx="20">
                  <c:v>94.5</c:v>
                </c:pt>
                <c:pt idx="21">
                  <c:v>80.400000000000006</c:v>
                </c:pt>
                <c:pt idx="22">
                  <c:v>90.8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CF-4273-8AED-57E3D5C2F9F5}"/>
            </c:ext>
          </c:extLst>
        </c:ser>
        <c:ser>
          <c:idx val="1"/>
          <c:order val="1"/>
          <c:tx>
            <c:strRef>
              <c:f>Treibhausgase!$A$9</c:f>
              <c:strCache>
                <c:ptCount val="1"/>
                <c:pt idx="0">
                  <c:v>Industrie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Treibhausgase!$B$7:$X$7</c:f>
              <c:strCache>
                <c:ptCount val="23"/>
                <c:pt idx="0">
                  <c:v>1990</c:v>
                </c:pt>
                <c:pt idx="1">
                  <c:v>1991-1994</c:v>
                </c:pt>
                <c:pt idx="2">
                  <c:v>1995</c:v>
                </c:pt>
                <c:pt idx="3">
                  <c:v>1996-1999</c:v>
                </c:pt>
                <c:pt idx="4">
                  <c:v>2000</c:v>
                </c:pt>
                <c:pt idx="5">
                  <c:v>2001-2004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strCache>
            </c:strRef>
          </c:cat>
          <c:val>
            <c:numRef>
              <c:f>Treibhausgase!$B$9:$X$9</c:f>
              <c:numCache>
                <c:formatCode>0.0</c:formatCode>
                <c:ptCount val="23"/>
                <c:pt idx="0">
                  <c:v>94.3</c:v>
                </c:pt>
                <c:pt idx="1">
                  <c:v>0</c:v>
                </c:pt>
                <c:pt idx="2">
                  <c:v>80.099999999999994</c:v>
                </c:pt>
                <c:pt idx="3">
                  <c:v>0</c:v>
                </c:pt>
                <c:pt idx="4">
                  <c:v>70.8</c:v>
                </c:pt>
                <c:pt idx="5">
                  <c:v>0</c:v>
                </c:pt>
                <c:pt idx="6">
                  <c:v>62.7</c:v>
                </c:pt>
                <c:pt idx="7">
                  <c:v>63.5</c:v>
                </c:pt>
                <c:pt idx="8">
                  <c:v>62.4</c:v>
                </c:pt>
                <c:pt idx="9">
                  <c:v>60.3</c:v>
                </c:pt>
                <c:pt idx="10">
                  <c:v>47.5</c:v>
                </c:pt>
                <c:pt idx="11">
                  <c:v>57</c:v>
                </c:pt>
                <c:pt idx="12">
                  <c:v>55.3</c:v>
                </c:pt>
                <c:pt idx="13">
                  <c:v>53.6</c:v>
                </c:pt>
                <c:pt idx="14">
                  <c:v>54.6</c:v>
                </c:pt>
                <c:pt idx="15">
                  <c:v>54.5</c:v>
                </c:pt>
                <c:pt idx="16">
                  <c:v>54.7</c:v>
                </c:pt>
                <c:pt idx="17">
                  <c:v>54.4</c:v>
                </c:pt>
                <c:pt idx="18">
                  <c:v>54.7</c:v>
                </c:pt>
                <c:pt idx="19">
                  <c:v>54.5</c:v>
                </c:pt>
                <c:pt idx="20">
                  <c:v>58.8</c:v>
                </c:pt>
                <c:pt idx="21">
                  <c:v>54.3</c:v>
                </c:pt>
                <c:pt idx="22">
                  <c:v>58.4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0-4FF0-BD17-98D7FBF3D35E}"/>
            </c:ext>
          </c:extLst>
        </c:ser>
        <c:ser>
          <c:idx val="2"/>
          <c:order val="2"/>
          <c:tx>
            <c:strRef>
              <c:f>Treibhausgase!$A$10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Treibhausgase!$B$7:$X$7</c:f>
              <c:strCache>
                <c:ptCount val="23"/>
                <c:pt idx="0">
                  <c:v>1990</c:v>
                </c:pt>
                <c:pt idx="1">
                  <c:v>1991-1994</c:v>
                </c:pt>
                <c:pt idx="2">
                  <c:v>1995</c:v>
                </c:pt>
                <c:pt idx="3">
                  <c:v>1996-1999</c:v>
                </c:pt>
                <c:pt idx="4">
                  <c:v>2000</c:v>
                </c:pt>
                <c:pt idx="5">
                  <c:v>2001-2004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strCache>
            </c:strRef>
          </c:cat>
          <c:val>
            <c:numRef>
              <c:f>Treibhausgase!$B$10:$X$10</c:f>
              <c:numCache>
                <c:formatCode>0.0</c:formatCode>
                <c:ptCount val="23"/>
                <c:pt idx="0">
                  <c:v>36.200000000000003</c:v>
                </c:pt>
                <c:pt idx="1">
                  <c:v>0</c:v>
                </c:pt>
                <c:pt idx="2">
                  <c:v>38.299999999999997</c:v>
                </c:pt>
                <c:pt idx="3">
                  <c:v>0</c:v>
                </c:pt>
                <c:pt idx="4">
                  <c:v>39.799999999999997</c:v>
                </c:pt>
                <c:pt idx="5">
                  <c:v>0</c:v>
                </c:pt>
                <c:pt idx="6">
                  <c:v>36.700000000000003</c:v>
                </c:pt>
                <c:pt idx="7">
                  <c:v>36.1</c:v>
                </c:pt>
                <c:pt idx="8">
                  <c:v>35.1</c:v>
                </c:pt>
                <c:pt idx="9">
                  <c:v>35</c:v>
                </c:pt>
                <c:pt idx="10">
                  <c:v>34.5</c:v>
                </c:pt>
                <c:pt idx="11">
                  <c:v>32.6</c:v>
                </c:pt>
                <c:pt idx="12">
                  <c:v>33</c:v>
                </c:pt>
                <c:pt idx="13">
                  <c:v>33.1</c:v>
                </c:pt>
                <c:pt idx="14">
                  <c:v>31.9</c:v>
                </c:pt>
                <c:pt idx="15">
                  <c:v>32.200000000000003</c:v>
                </c:pt>
                <c:pt idx="16">
                  <c:v>32.299999999999997</c:v>
                </c:pt>
                <c:pt idx="17">
                  <c:v>33.4</c:v>
                </c:pt>
                <c:pt idx="18">
                  <c:v>33.700000000000003</c:v>
                </c:pt>
                <c:pt idx="19">
                  <c:v>32.700000000000003</c:v>
                </c:pt>
                <c:pt idx="20">
                  <c:v>31.4</c:v>
                </c:pt>
                <c:pt idx="21">
                  <c:v>30</c:v>
                </c:pt>
                <c:pt idx="22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90-4FF0-BD17-98D7FBF3D35E}"/>
            </c:ext>
          </c:extLst>
        </c:ser>
        <c:ser>
          <c:idx val="3"/>
          <c:order val="3"/>
          <c:tx>
            <c:strRef>
              <c:f>Treibhausgase!$A$11</c:f>
              <c:strCache>
                <c:ptCount val="1"/>
                <c:pt idx="0">
                  <c:v>Haushalte / Kleinverbrauch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Treibhausgase!$B$7:$X$7</c:f>
              <c:strCache>
                <c:ptCount val="23"/>
                <c:pt idx="0">
                  <c:v>1990</c:v>
                </c:pt>
                <c:pt idx="1">
                  <c:v>1991-1994</c:v>
                </c:pt>
                <c:pt idx="2">
                  <c:v>1995</c:v>
                </c:pt>
                <c:pt idx="3">
                  <c:v>1996-1999</c:v>
                </c:pt>
                <c:pt idx="4">
                  <c:v>2000</c:v>
                </c:pt>
                <c:pt idx="5">
                  <c:v>2001-2004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strCache>
            </c:strRef>
          </c:cat>
          <c:val>
            <c:numRef>
              <c:f>Treibhausgase!$B$11:$X$11</c:f>
              <c:numCache>
                <c:formatCode>0.0</c:formatCode>
                <c:ptCount val="23"/>
                <c:pt idx="0">
                  <c:v>37.299999999999997</c:v>
                </c:pt>
                <c:pt idx="1">
                  <c:v>0</c:v>
                </c:pt>
                <c:pt idx="2">
                  <c:v>43.6</c:v>
                </c:pt>
                <c:pt idx="3">
                  <c:v>0</c:v>
                </c:pt>
                <c:pt idx="4">
                  <c:v>40.9</c:v>
                </c:pt>
                <c:pt idx="5">
                  <c:v>0</c:v>
                </c:pt>
                <c:pt idx="6">
                  <c:v>35.700000000000003</c:v>
                </c:pt>
                <c:pt idx="7">
                  <c:v>37.799999999999997</c:v>
                </c:pt>
                <c:pt idx="8">
                  <c:v>29.7</c:v>
                </c:pt>
                <c:pt idx="9">
                  <c:v>37.5</c:v>
                </c:pt>
                <c:pt idx="10">
                  <c:v>34.799999999999997</c:v>
                </c:pt>
                <c:pt idx="11">
                  <c:v>33.4</c:v>
                </c:pt>
                <c:pt idx="12">
                  <c:v>28.6</c:v>
                </c:pt>
                <c:pt idx="13">
                  <c:v>28.6</c:v>
                </c:pt>
                <c:pt idx="14">
                  <c:v>32</c:v>
                </c:pt>
                <c:pt idx="15">
                  <c:v>29</c:v>
                </c:pt>
                <c:pt idx="16">
                  <c:v>29.9</c:v>
                </c:pt>
                <c:pt idx="17">
                  <c:v>30.3</c:v>
                </c:pt>
                <c:pt idx="18">
                  <c:v>31.9</c:v>
                </c:pt>
                <c:pt idx="19">
                  <c:v>28.3</c:v>
                </c:pt>
                <c:pt idx="20">
                  <c:v>28.5</c:v>
                </c:pt>
                <c:pt idx="21">
                  <c:v>26.4</c:v>
                </c:pt>
                <c:pt idx="22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90-4FF0-BD17-98D7FBF3D35E}"/>
            </c:ext>
          </c:extLst>
        </c:ser>
        <c:ser>
          <c:idx val="4"/>
          <c:order val="4"/>
          <c:tx>
            <c:strRef>
              <c:f>Treibhausgase!$A$12</c:f>
              <c:strCache>
                <c:ptCount val="1"/>
                <c:pt idx="0">
                  <c:v>Fl. Emissionen aus Brennstoffen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Treibhausgase!$B$7:$X$7</c:f>
              <c:strCache>
                <c:ptCount val="23"/>
                <c:pt idx="0">
                  <c:v>1990</c:v>
                </c:pt>
                <c:pt idx="1">
                  <c:v>1991-1994</c:v>
                </c:pt>
                <c:pt idx="2">
                  <c:v>1995</c:v>
                </c:pt>
                <c:pt idx="3">
                  <c:v>1996-1999</c:v>
                </c:pt>
                <c:pt idx="4">
                  <c:v>2000</c:v>
                </c:pt>
                <c:pt idx="5">
                  <c:v>2001-2004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strCache>
            </c:strRef>
          </c:cat>
          <c:val>
            <c:numRef>
              <c:f>Treibhausgase!$B$12:$X$12</c:f>
              <c:numCache>
                <c:formatCode>0.0</c:formatCode>
                <c:ptCount val="23"/>
                <c:pt idx="0">
                  <c:v>23.4</c:v>
                </c:pt>
                <c:pt idx="1">
                  <c:v>0</c:v>
                </c:pt>
                <c:pt idx="2">
                  <c:v>17.600000000000001</c:v>
                </c:pt>
                <c:pt idx="3">
                  <c:v>0</c:v>
                </c:pt>
                <c:pt idx="4">
                  <c:v>14.1</c:v>
                </c:pt>
                <c:pt idx="5">
                  <c:v>0</c:v>
                </c:pt>
                <c:pt idx="6">
                  <c:v>7.1</c:v>
                </c:pt>
                <c:pt idx="7">
                  <c:v>6.4</c:v>
                </c:pt>
                <c:pt idx="8">
                  <c:v>6.2</c:v>
                </c:pt>
                <c:pt idx="9">
                  <c:v>6.1</c:v>
                </c:pt>
                <c:pt idx="10">
                  <c:v>4.5</c:v>
                </c:pt>
                <c:pt idx="11">
                  <c:v>4.3</c:v>
                </c:pt>
                <c:pt idx="12">
                  <c:v>4.0999999999999996</c:v>
                </c:pt>
                <c:pt idx="13">
                  <c:v>4.8</c:v>
                </c:pt>
                <c:pt idx="14">
                  <c:v>5</c:v>
                </c:pt>
                <c:pt idx="15">
                  <c:v>4.0999999999999996</c:v>
                </c:pt>
                <c:pt idx="16">
                  <c:v>4.5</c:v>
                </c:pt>
                <c:pt idx="17">
                  <c:v>3.8</c:v>
                </c:pt>
                <c:pt idx="18">
                  <c:v>4</c:v>
                </c:pt>
                <c:pt idx="19">
                  <c:v>3.3</c:v>
                </c:pt>
                <c:pt idx="20">
                  <c:v>3.5</c:v>
                </c:pt>
                <c:pt idx="21">
                  <c:v>1.9</c:v>
                </c:pt>
                <c:pt idx="22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90-4FF0-BD17-98D7FBF3D35E}"/>
            </c:ext>
          </c:extLst>
        </c:ser>
        <c:ser>
          <c:idx val="5"/>
          <c:order val="5"/>
          <c:tx>
            <c:strRef>
              <c:f>Treibhausgase!$A$13</c:f>
              <c:strCache>
                <c:ptCount val="1"/>
                <c:pt idx="0">
                  <c:v>Produktanwendungen/Sonstige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Treibhausgase!$B$7:$X$7</c:f>
              <c:strCache>
                <c:ptCount val="23"/>
                <c:pt idx="0">
                  <c:v>1990</c:v>
                </c:pt>
                <c:pt idx="1">
                  <c:v>1991-1994</c:v>
                </c:pt>
                <c:pt idx="2">
                  <c:v>1995</c:v>
                </c:pt>
                <c:pt idx="3">
                  <c:v>1996-1999</c:v>
                </c:pt>
                <c:pt idx="4">
                  <c:v>2000</c:v>
                </c:pt>
                <c:pt idx="5">
                  <c:v>2001-2004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strCache>
            </c:strRef>
          </c:cat>
          <c:val>
            <c:numRef>
              <c:f>Treibhausgase!$B$13:$X$13</c:f>
              <c:numCache>
                <c:formatCode>0.0</c:formatCode>
                <c:ptCount val="23"/>
                <c:pt idx="0">
                  <c:v>3.5</c:v>
                </c:pt>
                <c:pt idx="1">
                  <c:v>0</c:v>
                </c:pt>
                <c:pt idx="2">
                  <c:v>4.3</c:v>
                </c:pt>
                <c:pt idx="3">
                  <c:v>0</c:v>
                </c:pt>
                <c:pt idx="4">
                  <c:v>3.6</c:v>
                </c:pt>
                <c:pt idx="5">
                  <c:v>0</c:v>
                </c:pt>
                <c:pt idx="6">
                  <c:v>3.6</c:v>
                </c:pt>
                <c:pt idx="7">
                  <c:v>3.7</c:v>
                </c:pt>
                <c:pt idx="8">
                  <c:v>3.6</c:v>
                </c:pt>
                <c:pt idx="9">
                  <c:v>3.6</c:v>
                </c:pt>
                <c:pt idx="10">
                  <c:v>3.6</c:v>
                </c:pt>
                <c:pt idx="11">
                  <c:v>3.6</c:v>
                </c:pt>
                <c:pt idx="12">
                  <c:v>3.7</c:v>
                </c:pt>
                <c:pt idx="13">
                  <c:v>3.7</c:v>
                </c:pt>
                <c:pt idx="14">
                  <c:v>3.7</c:v>
                </c:pt>
                <c:pt idx="15">
                  <c:v>3.7</c:v>
                </c:pt>
                <c:pt idx="16">
                  <c:v>3.8</c:v>
                </c:pt>
                <c:pt idx="17">
                  <c:v>3.9</c:v>
                </c:pt>
                <c:pt idx="18">
                  <c:v>3.8</c:v>
                </c:pt>
                <c:pt idx="19">
                  <c:v>4.2</c:v>
                </c:pt>
                <c:pt idx="20">
                  <c:v>4</c:v>
                </c:pt>
                <c:pt idx="21">
                  <c:v>3.5</c:v>
                </c:pt>
                <c:pt idx="22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90-4FF0-BD17-98D7FBF3D35E}"/>
            </c:ext>
          </c:extLst>
        </c:ser>
        <c:ser>
          <c:idx val="6"/>
          <c:order val="6"/>
          <c:tx>
            <c:strRef>
              <c:f>Treibhausgase!$A$14</c:f>
              <c:strCache>
                <c:ptCount val="1"/>
                <c:pt idx="0">
                  <c:v>Landwirtschaft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Treibhausgase!$B$7:$X$7</c:f>
              <c:strCache>
                <c:ptCount val="23"/>
                <c:pt idx="0">
                  <c:v>1990</c:v>
                </c:pt>
                <c:pt idx="1">
                  <c:v>1991-1994</c:v>
                </c:pt>
                <c:pt idx="2">
                  <c:v>1995</c:v>
                </c:pt>
                <c:pt idx="3">
                  <c:v>1996-1999</c:v>
                </c:pt>
                <c:pt idx="4">
                  <c:v>2000</c:v>
                </c:pt>
                <c:pt idx="5">
                  <c:v>2001-2004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strCache>
            </c:strRef>
          </c:cat>
          <c:val>
            <c:numRef>
              <c:f>Treibhausgase!$B$14:$X$14</c:f>
              <c:numCache>
                <c:formatCode>0.0</c:formatCode>
                <c:ptCount val="23"/>
                <c:pt idx="0">
                  <c:v>7.7</c:v>
                </c:pt>
                <c:pt idx="1">
                  <c:v>0</c:v>
                </c:pt>
                <c:pt idx="2">
                  <c:v>7.2</c:v>
                </c:pt>
                <c:pt idx="3">
                  <c:v>0</c:v>
                </c:pt>
                <c:pt idx="4">
                  <c:v>6.9</c:v>
                </c:pt>
                <c:pt idx="5">
                  <c:v>0</c:v>
                </c:pt>
                <c:pt idx="6">
                  <c:v>6.7</c:v>
                </c:pt>
                <c:pt idx="7">
                  <c:v>6.4</c:v>
                </c:pt>
                <c:pt idx="8">
                  <c:v>6.5</c:v>
                </c:pt>
                <c:pt idx="9">
                  <c:v>6.6</c:v>
                </c:pt>
                <c:pt idx="10">
                  <c:v>6.8</c:v>
                </c:pt>
                <c:pt idx="11">
                  <c:v>6.6</c:v>
                </c:pt>
                <c:pt idx="12">
                  <c:v>6.6</c:v>
                </c:pt>
                <c:pt idx="13">
                  <c:v>6.8</c:v>
                </c:pt>
                <c:pt idx="14">
                  <c:v>7</c:v>
                </c:pt>
                <c:pt idx="15">
                  <c:v>7.2</c:v>
                </c:pt>
                <c:pt idx="16">
                  <c:v>7.2</c:v>
                </c:pt>
                <c:pt idx="17">
                  <c:v>7.2</c:v>
                </c:pt>
                <c:pt idx="18">
                  <c:v>7.2</c:v>
                </c:pt>
                <c:pt idx="19">
                  <c:v>7</c:v>
                </c:pt>
                <c:pt idx="20">
                  <c:v>7</c:v>
                </c:pt>
                <c:pt idx="21">
                  <c:v>6.9</c:v>
                </c:pt>
                <c:pt idx="22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90-4FF0-BD17-98D7FBF3D35E}"/>
            </c:ext>
          </c:extLst>
        </c:ser>
        <c:ser>
          <c:idx val="7"/>
          <c:order val="7"/>
          <c:tx>
            <c:strRef>
              <c:f>Treibhausgase!$A$15</c:f>
              <c:strCache>
                <c:ptCount val="1"/>
                <c:pt idx="0">
                  <c:v>Abfall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Treibhausgase!$B$7:$X$7</c:f>
              <c:strCache>
                <c:ptCount val="23"/>
                <c:pt idx="0">
                  <c:v>1990</c:v>
                </c:pt>
                <c:pt idx="1">
                  <c:v>1991-1994</c:v>
                </c:pt>
                <c:pt idx="2">
                  <c:v>1995</c:v>
                </c:pt>
                <c:pt idx="3">
                  <c:v>1996-1999</c:v>
                </c:pt>
                <c:pt idx="4">
                  <c:v>2000</c:v>
                </c:pt>
                <c:pt idx="5">
                  <c:v>2001-2004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strCache>
            </c:strRef>
          </c:cat>
          <c:val>
            <c:numRef>
              <c:f>Treibhausgase!$B$15:$X$15</c:f>
              <c:numCache>
                <c:formatCode>0.0</c:formatCode>
                <c:ptCount val="23"/>
                <c:pt idx="0">
                  <c:v>5.2</c:v>
                </c:pt>
                <c:pt idx="1">
                  <c:v>0</c:v>
                </c:pt>
                <c:pt idx="2">
                  <c:v>3.7</c:v>
                </c:pt>
                <c:pt idx="3">
                  <c:v>0</c:v>
                </c:pt>
                <c:pt idx="4">
                  <c:v>2.4</c:v>
                </c:pt>
                <c:pt idx="5">
                  <c:v>0</c:v>
                </c:pt>
                <c:pt idx="6">
                  <c:v>1.8</c:v>
                </c:pt>
                <c:pt idx="7">
                  <c:v>1.5</c:v>
                </c:pt>
                <c:pt idx="8">
                  <c:v>1.2</c:v>
                </c:pt>
                <c:pt idx="9">
                  <c:v>1.1000000000000001</c:v>
                </c:pt>
                <c:pt idx="10">
                  <c:v>1</c:v>
                </c:pt>
                <c:pt idx="11">
                  <c:v>0.9</c:v>
                </c:pt>
                <c:pt idx="12">
                  <c:v>0.9</c:v>
                </c:pt>
                <c:pt idx="13">
                  <c:v>0.8</c:v>
                </c:pt>
                <c:pt idx="14">
                  <c:v>0.7</c:v>
                </c:pt>
                <c:pt idx="15">
                  <c:v>0.7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90-4FF0-BD17-98D7FBF3D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8508224"/>
        <c:axId val="548505600"/>
      </c:bar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Millionen Tonnen Kohlendioxid-Äquivalente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Entwicklung der Zunahme der Siedlungs- und Verkehrsflächen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Flächenverbrauch!$A$8</c:f>
              <c:strCache>
                <c:ptCount val="1"/>
                <c:pt idx="0">
                  <c:v>Siedlungs- und Verkehrsfläche (nach ALB)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Flächenverbrauch!$B$7:$AA$7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 *)</c:v>
                </c:pt>
                <c:pt idx="21">
                  <c:v>2017 *)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Flächenverbrauch!$B$8:$AA$8</c:f>
              <c:numCache>
                <c:formatCode>0.0</c:formatCode>
                <c:ptCount val="26"/>
                <c:pt idx="0">
                  <c:v>13.3</c:v>
                </c:pt>
                <c:pt idx="1">
                  <c:v>16</c:v>
                </c:pt>
                <c:pt idx="2">
                  <c:v>15.2</c:v>
                </c:pt>
                <c:pt idx="3">
                  <c:v>19.3</c:v>
                </c:pt>
                <c:pt idx="4">
                  <c:v>15.3</c:v>
                </c:pt>
                <c:pt idx="5">
                  <c:v>16.3</c:v>
                </c:pt>
                <c:pt idx="6">
                  <c:v>16</c:v>
                </c:pt>
                <c:pt idx="7">
                  <c:v>8.9</c:v>
                </c:pt>
                <c:pt idx="8">
                  <c:v>19.7</c:v>
                </c:pt>
                <c:pt idx="9">
                  <c:v>13.3</c:v>
                </c:pt>
                <c:pt idx="10">
                  <c:v>14.4</c:v>
                </c:pt>
                <c:pt idx="11">
                  <c:v>14.1</c:v>
                </c:pt>
                <c:pt idx="12">
                  <c:v>15</c:v>
                </c:pt>
                <c:pt idx="13">
                  <c:v>9.1</c:v>
                </c:pt>
                <c:pt idx="14">
                  <c:v>11.5</c:v>
                </c:pt>
                <c:pt idx="15">
                  <c:v>10</c:v>
                </c:pt>
                <c:pt idx="16">
                  <c:v>10.4</c:v>
                </c:pt>
                <c:pt idx="17">
                  <c:v>9.3000000000000007</c:v>
                </c:pt>
                <c:pt idx="18">
                  <c:v>9</c:v>
                </c:pt>
                <c:pt idx="19">
                  <c:v>9.3000000000000007</c:v>
                </c:pt>
                <c:pt idx="20">
                  <c:v>10.1</c:v>
                </c:pt>
                <c:pt idx="21">
                  <c:v>11.8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2-4AD5-AD55-88010017B17E}"/>
            </c:ext>
          </c:extLst>
        </c:ser>
        <c:ser>
          <c:idx val="1"/>
          <c:order val="1"/>
          <c:tx>
            <c:strRef>
              <c:f>Flächenverbrauch!$A$9</c:f>
              <c:strCache>
                <c:ptCount val="1"/>
                <c:pt idx="0">
                  <c:v>Siedlungs- und Verkehrsfläche (nach ALKIS)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Flächenverbrauch!$B$7:$AA$7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 *)</c:v>
                </c:pt>
                <c:pt idx="21">
                  <c:v>2017 *)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Flächenverbrauch!$B$9:$AA$9</c:f>
              <c:numCache>
                <c:formatCode>0.0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6.3</c:v>
                </c:pt>
                <c:pt idx="22">
                  <c:v>5.2</c:v>
                </c:pt>
                <c:pt idx="23">
                  <c:v>8.1</c:v>
                </c:pt>
                <c:pt idx="24">
                  <c:v>5.7</c:v>
                </c:pt>
                <c:pt idx="25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52-4AD5-AD55-88010017B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468360"/>
        <c:axId val="679459176"/>
      </c:barChart>
      <c:catAx>
        <c:axId val="67946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9459176"/>
        <c:crosses val="autoZero"/>
        <c:auto val="1"/>
        <c:lblAlgn val="ctr"/>
        <c:lblOffset val="100"/>
        <c:noMultiLvlLbl val="0"/>
      </c:catAx>
      <c:valAx>
        <c:axId val="679459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Hektar pro Tag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9468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Entwicklung der Siedlungsfläche pro Einwohner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Siedlungsfläche!$A$8</c:f>
              <c:strCache>
                <c:ptCount val="1"/>
                <c:pt idx="0">
                  <c:v>Siedlungsfläche (nach ALB)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Siedlungsfläche!$B$7:$AA$7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Siedlungsfläche!$B$8:$AA$8</c:f>
              <c:numCache>
                <c:formatCode>0.0</c:formatCode>
                <c:ptCount val="26"/>
                <c:pt idx="0">
                  <c:v>262</c:v>
                </c:pt>
                <c:pt idx="1">
                  <c:v>265</c:v>
                </c:pt>
                <c:pt idx="2">
                  <c:v>268</c:v>
                </c:pt>
                <c:pt idx="3">
                  <c:v>271</c:v>
                </c:pt>
                <c:pt idx="4">
                  <c:v>273</c:v>
                </c:pt>
                <c:pt idx="5">
                  <c:v>276</c:v>
                </c:pt>
                <c:pt idx="6">
                  <c:v>278</c:v>
                </c:pt>
                <c:pt idx="7">
                  <c:v>279</c:v>
                </c:pt>
                <c:pt idx="8">
                  <c:v>283</c:v>
                </c:pt>
                <c:pt idx="9">
                  <c:v>285</c:v>
                </c:pt>
                <c:pt idx="10">
                  <c:v>288</c:v>
                </c:pt>
                <c:pt idx="11">
                  <c:v>291</c:v>
                </c:pt>
                <c:pt idx="12">
                  <c:v>294</c:v>
                </c:pt>
                <c:pt idx="13">
                  <c:v>297</c:v>
                </c:pt>
                <c:pt idx="14">
                  <c:v>299</c:v>
                </c:pt>
                <c:pt idx="15">
                  <c:v>301</c:v>
                </c:pt>
                <c:pt idx="16">
                  <c:v>302</c:v>
                </c:pt>
                <c:pt idx="17">
                  <c:v>303</c:v>
                </c:pt>
                <c:pt idx="18">
                  <c:v>303</c:v>
                </c:pt>
                <c:pt idx="19">
                  <c:v>301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31-4CEE-8048-312DA984BFC5}"/>
            </c:ext>
          </c:extLst>
        </c:ser>
        <c:ser>
          <c:idx val="1"/>
          <c:order val="1"/>
          <c:tx>
            <c:strRef>
              <c:f>Siedlungsfläche!$A$9</c:f>
              <c:strCache>
                <c:ptCount val="1"/>
                <c:pt idx="0">
                  <c:v>Siedlungsfläche (nach ALKIS)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Siedlungsfläche!$B$7:$AA$7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Siedlungsfläche!$B$9:$AA$9</c:f>
              <c:numCache>
                <c:formatCode>0.0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302</c:v>
                </c:pt>
                <c:pt idx="21">
                  <c:v>303</c:v>
                </c:pt>
                <c:pt idx="22">
                  <c:v>304</c:v>
                </c:pt>
                <c:pt idx="23">
                  <c:v>306</c:v>
                </c:pt>
                <c:pt idx="24">
                  <c:v>307</c:v>
                </c:pt>
                <c:pt idx="25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831-4CEE-8048-312DA984B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8508224"/>
        <c:axId val="548505600"/>
      </c:bar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  <c:max val="3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Quadratmeter Siedlungsfläche pro Kopf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Schwermetalleintrag an ländlichen Stationen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Schwermetalleintrag!$A$8</c:f>
              <c:strCache>
                <c:ptCount val="1"/>
                <c:pt idx="0">
                  <c:v>Schwermetalleintrag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Schwermetalleintrag!$B$7:$AL$7</c:f>
              <c:numCache>
                <c:formatCode>General</c:formatCode>
                <c:ptCount val="37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</c:numCache>
            </c:numRef>
          </c:cat>
          <c:val>
            <c:numRef>
              <c:f>Schwermetalleintrag!$B$8:$AL$8</c:f>
              <c:numCache>
                <c:formatCode>0.00</c:formatCode>
                <c:ptCount val="37"/>
                <c:pt idx="0">
                  <c:v>1</c:v>
                </c:pt>
                <c:pt idx="1">
                  <c:v>1.07</c:v>
                </c:pt>
                <c:pt idx="2">
                  <c:v>0.78</c:v>
                </c:pt>
                <c:pt idx="3">
                  <c:v>0.72</c:v>
                </c:pt>
                <c:pt idx="4">
                  <c:v>0.67</c:v>
                </c:pt>
                <c:pt idx="5">
                  <c:v>0</c:v>
                </c:pt>
                <c:pt idx="6">
                  <c:v>0.59</c:v>
                </c:pt>
                <c:pt idx="7">
                  <c:v>0.6</c:v>
                </c:pt>
                <c:pt idx="8">
                  <c:v>0.52</c:v>
                </c:pt>
                <c:pt idx="9">
                  <c:v>0.48</c:v>
                </c:pt>
                <c:pt idx="10">
                  <c:v>0.47</c:v>
                </c:pt>
                <c:pt idx="11">
                  <c:v>0.43</c:v>
                </c:pt>
                <c:pt idx="12">
                  <c:v>0.51</c:v>
                </c:pt>
                <c:pt idx="13">
                  <c:v>0.32</c:v>
                </c:pt>
                <c:pt idx="14">
                  <c:v>0.35</c:v>
                </c:pt>
                <c:pt idx="15">
                  <c:v>0.28999999999999998</c:v>
                </c:pt>
                <c:pt idx="16">
                  <c:v>0.3</c:v>
                </c:pt>
                <c:pt idx="17">
                  <c:v>0.25</c:v>
                </c:pt>
                <c:pt idx="18">
                  <c:v>0.36</c:v>
                </c:pt>
                <c:pt idx="19">
                  <c:v>0.32</c:v>
                </c:pt>
                <c:pt idx="20">
                  <c:v>0.27</c:v>
                </c:pt>
                <c:pt idx="21">
                  <c:v>0.2</c:v>
                </c:pt>
                <c:pt idx="22">
                  <c:v>0.2</c:v>
                </c:pt>
                <c:pt idx="23">
                  <c:v>0.17</c:v>
                </c:pt>
                <c:pt idx="24">
                  <c:v>0.15</c:v>
                </c:pt>
                <c:pt idx="25">
                  <c:v>0.13</c:v>
                </c:pt>
                <c:pt idx="26">
                  <c:v>0.12</c:v>
                </c:pt>
                <c:pt idx="27">
                  <c:v>0.15</c:v>
                </c:pt>
                <c:pt idx="28">
                  <c:v>0.1</c:v>
                </c:pt>
                <c:pt idx="29">
                  <c:v>0.12</c:v>
                </c:pt>
                <c:pt idx="30">
                  <c:v>0.08</c:v>
                </c:pt>
                <c:pt idx="31">
                  <c:v>0.11</c:v>
                </c:pt>
                <c:pt idx="32">
                  <c:v>0.15</c:v>
                </c:pt>
                <c:pt idx="33">
                  <c:v>0.17</c:v>
                </c:pt>
                <c:pt idx="34">
                  <c:v>0.11</c:v>
                </c:pt>
                <c:pt idx="35">
                  <c:v>0.09</c:v>
                </c:pt>
                <c:pt idx="36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6E-40C4-8F0A-5E26B4E80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508224"/>
        <c:axId val="548505600"/>
      </c:line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Normierung auf 1986 = 1,0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Fließgewässerzustand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Fließgewässerzustand!$A$8</c:f>
              <c:strCache>
                <c:ptCount val="1"/>
                <c:pt idx="0">
                  <c:v>Künstliche oder veränderte &lt;br&gt;Wasserkörper, mäßiges, &lt;br&gt;unbefriedigendes oder &lt;br&gt;schlechtes Potenzial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Fließgewässerzustand!$B$7:$C$7</c:f>
              <c:strCache>
                <c:ptCount val="2"/>
                <c:pt idx="0">
                  <c:v>2012-2014</c:v>
                </c:pt>
                <c:pt idx="1">
                  <c:v>2015-2018</c:v>
                </c:pt>
              </c:strCache>
            </c:strRef>
          </c:cat>
          <c:val>
            <c:numRef>
              <c:f>Fließgewässerzustand!$B$8:$C$8</c:f>
              <c:numCache>
                <c:formatCode>0.0</c:formatCode>
                <c:ptCount val="2"/>
                <c:pt idx="0">
                  <c:v>54.6</c:v>
                </c:pt>
                <c:pt idx="1">
                  <c:v>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9AA-8B8E-FA3321C6C44D}"/>
            </c:ext>
          </c:extLst>
        </c:ser>
        <c:ser>
          <c:idx val="1"/>
          <c:order val="1"/>
          <c:tx>
            <c:strRef>
              <c:f>Fließgewässerzustand!$A$9</c:f>
              <c:strCache>
                <c:ptCount val="1"/>
                <c:pt idx="0">
                  <c:v>Natürliche Wasserkörper, &lt;br&gt;mäßiger, unbefriedigender &lt;br&gt;oder schlechter Zustand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Fließgewässerzustand!$B$7:$C$7</c:f>
              <c:strCache>
                <c:ptCount val="2"/>
                <c:pt idx="0">
                  <c:v>2012-2014</c:v>
                </c:pt>
                <c:pt idx="1">
                  <c:v>2015-2018</c:v>
                </c:pt>
              </c:strCache>
            </c:strRef>
          </c:cat>
          <c:val>
            <c:numRef>
              <c:f>Fließgewässerzustand!$B$9:$C$9</c:f>
              <c:numCache>
                <c:formatCode>0.0</c:formatCode>
                <c:ptCount val="2"/>
                <c:pt idx="0">
                  <c:v>35.9</c:v>
                </c:pt>
                <c:pt idx="1">
                  <c:v>35.700000000000003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9AA-8B8E-FA3321C6C44D}"/>
            </c:ext>
          </c:extLst>
        </c:ser>
        <c:ser>
          <c:idx val="2"/>
          <c:order val="2"/>
          <c:tx>
            <c:strRef>
              <c:f>Fließgewässerzustand!$A$10</c:f>
              <c:strCache>
                <c:ptCount val="1"/>
                <c:pt idx="0">
                  <c:v>Künstliche oder veränderte &lt;br&gt;Wasserkörper, sehr gutes &lt;br&gt;oder gutes Potenzial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Fließgewässerzustand!$B$7:$C$7</c:f>
              <c:strCache>
                <c:ptCount val="2"/>
                <c:pt idx="0">
                  <c:v>2012-2014</c:v>
                </c:pt>
                <c:pt idx="1">
                  <c:v>2015-2018</c:v>
                </c:pt>
              </c:strCache>
            </c:strRef>
          </c:cat>
          <c:val>
            <c:numRef>
              <c:f>Fließgewässerzustand!$B$10:$C$10</c:f>
              <c:numCache>
                <c:formatCode>0.0</c:formatCode>
                <c:ptCount val="2"/>
                <c:pt idx="0">
                  <c:v>0.6</c:v>
                </c:pt>
                <c:pt idx="1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9AA-8B8E-FA3321C6C44D}"/>
            </c:ext>
          </c:extLst>
        </c:ser>
        <c:ser>
          <c:idx val="3"/>
          <c:order val="3"/>
          <c:tx>
            <c:strRef>
              <c:f>Fließgewässerzustand!$A$11</c:f>
              <c:strCache>
                <c:ptCount val="1"/>
                <c:pt idx="0">
                  <c:v>Natürliche Wasserkörper, &lt;br&gt;sehr guter oder &lt;br&gt;guter Zustand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Fließgewässerzustand!$B$7:$C$7</c:f>
              <c:strCache>
                <c:ptCount val="2"/>
                <c:pt idx="0">
                  <c:v>2012-2014</c:v>
                </c:pt>
                <c:pt idx="1">
                  <c:v>2015-2018</c:v>
                </c:pt>
              </c:strCache>
            </c:strRef>
          </c:cat>
          <c:val>
            <c:numRef>
              <c:f>Fließgewässerzustand!$B$11:$C$11</c:f>
              <c:numCache>
                <c:formatCode>0.0</c:formatCode>
                <c:ptCount val="2"/>
                <c:pt idx="0">
                  <c:v>8.8000000000000007</c:v>
                </c:pt>
                <c:pt idx="1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9AA-8B8E-FA3321C6C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8545080"/>
        <c:axId val="548550656"/>
      </c:barChart>
      <c:catAx>
        <c:axId val="548545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50656"/>
        <c:crosses val="autoZero"/>
        <c:auto val="1"/>
        <c:lblAlgn val="ctr"/>
        <c:lblOffset val="100"/>
        <c:noMultiLvlLbl val="0"/>
      </c:catAx>
      <c:valAx>
        <c:axId val="54855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45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Nitratkonzentration im Grundwasser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'Nitrat GW'!$A$8</c:f>
              <c:strCache>
                <c:ptCount val="1"/>
                <c:pt idx="0">
                  <c:v>Anteil der Messstellen mit Nitratgehalten über 50 mg/l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'Nitrat GW'!$B$7:$O$7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'Nitrat GW'!$B$8:$O$8</c:f>
              <c:numCache>
                <c:formatCode>0.0</c:formatCode>
                <c:ptCount val="14"/>
                <c:pt idx="0">
                  <c:v>17.899999999999999</c:v>
                </c:pt>
                <c:pt idx="1">
                  <c:v>15.5</c:v>
                </c:pt>
                <c:pt idx="2">
                  <c:v>17.100000000000001</c:v>
                </c:pt>
                <c:pt idx="3">
                  <c:v>15.7</c:v>
                </c:pt>
                <c:pt idx="4">
                  <c:v>16.899999999999999</c:v>
                </c:pt>
                <c:pt idx="5">
                  <c:v>15.9</c:v>
                </c:pt>
                <c:pt idx="6">
                  <c:v>16.5</c:v>
                </c:pt>
                <c:pt idx="7">
                  <c:v>13.5</c:v>
                </c:pt>
                <c:pt idx="8">
                  <c:v>13.3</c:v>
                </c:pt>
                <c:pt idx="9">
                  <c:v>12.2</c:v>
                </c:pt>
                <c:pt idx="10">
                  <c:v>14.9</c:v>
                </c:pt>
                <c:pt idx="11">
                  <c:v>14.6</c:v>
                </c:pt>
                <c:pt idx="12">
                  <c:v>14.7</c:v>
                </c:pt>
                <c:pt idx="13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14-4C57-A982-6D996288A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508224"/>
        <c:axId val="548505600"/>
      </c:line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Anteil der Messstellen in Prozent mit Nitratbelastung über 50 Milligramm pro Liter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Gefährdete Arten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'Gefärdete Arten'!$B$7</c:f>
              <c:strCache>
                <c:ptCount val="1"/>
                <c:pt idx="0">
                  <c:v>Ausgestorben oder verschollen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'Gefärdete Arten'!$A$8:$A$11</c:f>
              <c:strCache>
                <c:ptCount val="4"/>
                <c:pt idx="0">
                  <c:v>1979
2960 Arten</c:v>
                </c:pt>
                <c:pt idx="1">
                  <c:v>1986
2964 Arten</c:v>
                </c:pt>
                <c:pt idx="2">
                  <c:v>1999
3041 Arten</c:v>
                </c:pt>
                <c:pt idx="3">
                  <c:v>2011
3088 Arten</c:v>
                </c:pt>
              </c:strCache>
            </c:strRef>
          </c:cat>
          <c:val>
            <c:numRef>
              <c:f>'Gefärdete Arten'!$B$8:$B$11</c:f>
              <c:numCache>
                <c:formatCode>0.0</c:formatCode>
                <c:ptCount val="4"/>
                <c:pt idx="0">
                  <c:v>5</c:v>
                </c:pt>
                <c:pt idx="1">
                  <c:v>6.3</c:v>
                </c:pt>
                <c:pt idx="2">
                  <c:v>8.1999999999999993</c:v>
                </c:pt>
                <c:pt idx="3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C-4DF4-8664-FB608CC2CDD3}"/>
            </c:ext>
          </c:extLst>
        </c:ser>
        <c:ser>
          <c:idx val="1"/>
          <c:order val="1"/>
          <c:tx>
            <c:strRef>
              <c:f>'Gefärdete Arten'!$C$7</c:f>
              <c:strCache>
                <c:ptCount val="1"/>
                <c:pt idx="0">
                  <c:v>Durch extreme Seltenheit gefährdet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'Gefärdete Arten'!$A$8:$A$11</c:f>
              <c:strCache>
                <c:ptCount val="4"/>
                <c:pt idx="0">
                  <c:v>1979
2960 Arten</c:v>
                </c:pt>
                <c:pt idx="1">
                  <c:v>1986
2964 Arten</c:v>
                </c:pt>
                <c:pt idx="2">
                  <c:v>1999
3041 Arten</c:v>
                </c:pt>
                <c:pt idx="3">
                  <c:v>2011
3088 Arten</c:v>
                </c:pt>
              </c:strCache>
            </c:strRef>
          </c:cat>
          <c:val>
            <c:numRef>
              <c:f>'Gefärdete Arten'!$C$8:$C$11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2.6</c:v>
                </c:pt>
                <c:pt idx="3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EC-4DF4-8664-FB608CC2CDD3}"/>
            </c:ext>
          </c:extLst>
        </c:ser>
        <c:ser>
          <c:idx val="2"/>
          <c:order val="2"/>
          <c:tx>
            <c:strRef>
              <c:f>'Gefärdete Arten'!$D$7</c:f>
              <c:strCache>
                <c:ptCount val="1"/>
                <c:pt idx="0">
                  <c:v>Gefährdungausmaß unbekannt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'Gefärdete Arten'!$A$8:$A$11</c:f>
              <c:strCache>
                <c:ptCount val="4"/>
                <c:pt idx="0">
                  <c:v>1979
2960 Arten</c:v>
                </c:pt>
                <c:pt idx="1">
                  <c:v>1986
2964 Arten</c:v>
                </c:pt>
                <c:pt idx="2">
                  <c:v>1999
3041 Arten</c:v>
                </c:pt>
                <c:pt idx="3">
                  <c:v>2011
3088 Arten</c:v>
                </c:pt>
              </c:strCache>
            </c:strRef>
          </c:cat>
          <c:val>
            <c:numRef>
              <c:f>'Gefärdete Arten'!$D$8:$D$11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EC-4DF4-8664-FB608CC2CDD3}"/>
            </c:ext>
          </c:extLst>
        </c:ser>
        <c:ser>
          <c:idx val="3"/>
          <c:order val="3"/>
          <c:tx>
            <c:strRef>
              <c:f>'Gefärdete Arten'!$E$7</c:f>
              <c:strCache>
                <c:ptCount val="1"/>
                <c:pt idx="0">
                  <c:v>Vom Aussterben bedroht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'Gefärdete Arten'!$A$8:$A$11</c:f>
              <c:strCache>
                <c:ptCount val="4"/>
                <c:pt idx="0">
                  <c:v>1979
2960 Arten</c:v>
                </c:pt>
                <c:pt idx="1">
                  <c:v>1986
2964 Arten</c:v>
                </c:pt>
                <c:pt idx="2">
                  <c:v>1999
3041 Arten</c:v>
                </c:pt>
                <c:pt idx="3">
                  <c:v>2011
3088 Arten</c:v>
                </c:pt>
              </c:strCache>
            </c:strRef>
          </c:cat>
          <c:val>
            <c:numRef>
              <c:f>'Gefärdete Arten'!$E$8:$E$11</c:f>
              <c:numCache>
                <c:formatCode>0.0</c:formatCode>
                <c:ptCount val="4"/>
                <c:pt idx="0">
                  <c:v>8.8000000000000007</c:v>
                </c:pt>
                <c:pt idx="1">
                  <c:v>10.9</c:v>
                </c:pt>
                <c:pt idx="2">
                  <c:v>9.1</c:v>
                </c:pt>
                <c:pt idx="3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EC-4DF4-8664-FB608CC2CDD3}"/>
            </c:ext>
          </c:extLst>
        </c:ser>
        <c:ser>
          <c:idx val="4"/>
          <c:order val="4"/>
          <c:tx>
            <c:strRef>
              <c:f>'Gefärdete Arten'!$F$7</c:f>
              <c:strCache>
                <c:ptCount val="1"/>
                <c:pt idx="0">
                  <c:v>Stark gefährdet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'Gefärdete Arten'!$A$8:$A$11</c:f>
              <c:strCache>
                <c:ptCount val="4"/>
                <c:pt idx="0">
                  <c:v>1979
2960 Arten</c:v>
                </c:pt>
                <c:pt idx="1">
                  <c:v>1986
2964 Arten</c:v>
                </c:pt>
                <c:pt idx="2">
                  <c:v>1999
3041 Arten</c:v>
                </c:pt>
                <c:pt idx="3">
                  <c:v>2011
3088 Arten</c:v>
                </c:pt>
              </c:strCache>
            </c:strRef>
          </c:cat>
          <c:val>
            <c:numRef>
              <c:f>'Gefärdete Arten'!$F$8:$F$11</c:f>
              <c:numCache>
                <c:formatCode>0.0</c:formatCode>
                <c:ptCount val="4"/>
                <c:pt idx="0">
                  <c:v>11.1</c:v>
                </c:pt>
                <c:pt idx="1">
                  <c:v>13.3</c:v>
                </c:pt>
                <c:pt idx="2">
                  <c:v>13</c:v>
                </c:pt>
                <c:pt idx="3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EC-4DF4-8664-FB608CC2CDD3}"/>
            </c:ext>
          </c:extLst>
        </c:ser>
        <c:ser>
          <c:idx val="5"/>
          <c:order val="5"/>
          <c:tx>
            <c:strRef>
              <c:f>'Gefärdete Arten'!$G$7</c:f>
              <c:strCache>
                <c:ptCount val="1"/>
                <c:pt idx="0">
                  <c:v>Gefährdet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'Gefärdete Arten'!$A$8:$A$11</c:f>
              <c:strCache>
                <c:ptCount val="4"/>
                <c:pt idx="0">
                  <c:v>1979
2960 Arten</c:v>
                </c:pt>
                <c:pt idx="1">
                  <c:v>1986
2964 Arten</c:v>
                </c:pt>
                <c:pt idx="2">
                  <c:v>1999
3041 Arten</c:v>
                </c:pt>
                <c:pt idx="3">
                  <c:v>2011
3088 Arten</c:v>
                </c:pt>
              </c:strCache>
            </c:strRef>
          </c:cat>
          <c:val>
            <c:numRef>
              <c:f>'Gefärdete Arten'!$G$8:$G$11</c:f>
              <c:numCache>
                <c:formatCode>0.0</c:formatCode>
                <c:ptCount val="4"/>
                <c:pt idx="0">
                  <c:v>13</c:v>
                </c:pt>
                <c:pt idx="1">
                  <c:v>12.7</c:v>
                </c:pt>
                <c:pt idx="2">
                  <c:v>15.7</c:v>
                </c:pt>
                <c:pt idx="3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EC-4DF4-8664-FB608CC2CDD3}"/>
            </c:ext>
          </c:extLst>
        </c:ser>
        <c:ser>
          <c:idx val="6"/>
          <c:order val="6"/>
          <c:tx>
            <c:strRef>
              <c:f>'Gefärdete Arten'!$H$7</c:f>
              <c:strCache>
                <c:ptCount val="1"/>
                <c:pt idx="0">
                  <c:v>Nicht in der Roten Liste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'Gefärdete Arten'!$A$8:$A$11</c:f>
              <c:strCache>
                <c:ptCount val="4"/>
                <c:pt idx="0">
                  <c:v>1979
2960 Arten</c:v>
                </c:pt>
                <c:pt idx="1">
                  <c:v>1986
2964 Arten</c:v>
                </c:pt>
                <c:pt idx="2">
                  <c:v>1999
3041 Arten</c:v>
                </c:pt>
                <c:pt idx="3">
                  <c:v>2011
3088 Arten</c:v>
                </c:pt>
              </c:strCache>
            </c:strRef>
          </c:cat>
          <c:val>
            <c:numRef>
              <c:f>'Gefärdete Arten'!$H$8:$H$11</c:f>
              <c:numCache>
                <c:formatCode>0.0</c:formatCode>
                <c:ptCount val="4"/>
                <c:pt idx="0">
                  <c:v>62.2</c:v>
                </c:pt>
                <c:pt idx="1">
                  <c:v>56.9</c:v>
                </c:pt>
                <c:pt idx="2">
                  <c:v>51.4</c:v>
                </c:pt>
                <c:pt idx="3">
                  <c:v>53.4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EC-4DF4-8664-FB608CC2C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4570944"/>
        <c:axId val="544571272"/>
      </c:barChart>
      <c:catAx>
        <c:axId val="54457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571272"/>
        <c:crosses val="autoZero"/>
        <c:auto val="1"/>
        <c:lblAlgn val="ctr"/>
        <c:lblOffset val="100"/>
        <c:noMultiLvlLbl val="0"/>
      </c:catAx>
      <c:valAx>
        <c:axId val="54457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Anteil der Gefährdungskategorien in Prozent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457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Naturschutzflächen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Naturschutzflächen!$A$8</c:f>
              <c:strCache>
                <c:ptCount val="1"/>
                <c:pt idx="0">
                  <c:v>Naturschutzflächen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Naturschutzflächen!$B$7:$CZ$7</c:f>
              <c:numCache>
                <c:formatCode>General</c:formatCode>
                <c:ptCount val="103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  <c:pt idx="92">
                  <c:v>2012</c:v>
                </c:pt>
                <c:pt idx="93">
                  <c:v>2013</c:v>
                </c:pt>
                <c:pt idx="94">
                  <c:v>2014</c:v>
                </c:pt>
                <c:pt idx="95">
                  <c:v>2015</c:v>
                </c:pt>
                <c:pt idx="96">
                  <c:v>2016</c:v>
                </c:pt>
                <c:pt idx="97">
                  <c:v>2017</c:v>
                </c:pt>
                <c:pt idx="98">
                  <c:v>2018</c:v>
                </c:pt>
                <c:pt idx="99">
                  <c:v>2019</c:v>
                </c:pt>
                <c:pt idx="100">
                  <c:v>2020</c:v>
                </c:pt>
                <c:pt idx="101">
                  <c:v>2021</c:v>
                </c:pt>
                <c:pt idx="102">
                  <c:v>2022</c:v>
                </c:pt>
              </c:numCache>
            </c:numRef>
          </c:cat>
          <c:val>
            <c:numRef>
              <c:f>Naturschutzflächen!$B$8:$CZ$8</c:f>
              <c:numCache>
                <c:formatCode>0.00</c:formatCode>
                <c:ptCount val="103"/>
                <c:pt idx="0">
                  <c:v>0</c:v>
                </c:pt>
                <c:pt idx="1">
                  <c:v>0.01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0.15</c:v>
                </c:pt>
                <c:pt idx="9">
                  <c:v>0.15</c:v>
                </c:pt>
                <c:pt idx="10">
                  <c:v>0.23</c:v>
                </c:pt>
                <c:pt idx="11">
                  <c:v>0.23</c:v>
                </c:pt>
                <c:pt idx="12">
                  <c:v>0.24</c:v>
                </c:pt>
                <c:pt idx="13">
                  <c:v>0.24</c:v>
                </c:pt>
                <c:pt idx="14">
                  <c:v>0.24</c:v>
                </c:pt>
                <c:pt idx="15">
                  <c:v>0.24</c:v>
                </c:pt>
                <c:pt idx="16">
                  <c:v>0.31</c:v>
                </c:pt>
                <c:pt idx="17">
                  <c:v>0.33</c:v>
                </c:pt>
                <c:pt idx="18">
                  <c:v>0.36</c:v>
                </c:pt>
                <c:pt idx="19">
                  <c:v>0.38</c:v>
                </c:pt>
                <c:pt idx="20">
                  <c:v>0.43</c:v>
                </c:pt>
                <c:pt idx="21">
                  <c:v>0.48</c:v>
                </c:pt>
                <c:pt idx="22">
                  <c:v>0.51</c:v>
                </c:pt>
                <c:pt idx="23">
                  <c:v>0.52</c:v>
                </c:pt>
                <c:pt idx="24">
                  <c:v>0.52</c:v>
                </c:pt>
                <c:pt idx="25">
                  <c:v>0.52</c:v>
                </c:pt>
                <c:pt idx="26">
                  <c:v>0.52</c:v>
                </c:pt>
                <c:pt idx="27">
                  <c:v>0.52</c:v>
                </c:pt>
                <c:pt idx="28">
                  <c:v>0.52</c:v>
                </c:pt>
                <c:pt idx="29">
                  <c:v>0.54</c:v>
                </c:pt>
                <c:pt idx="30">
                  <c:v>0.55000000000000004</c:v>
                </c:pt>
                <c:pt idx="31">
                  <c:v>0.56000000000000005</c:v>
                </c:pt>
                <c:pt idx="32">
                  <c:v>0.56999999999999995</c:v>
                </c:pt>
                <c:pt idx="33">
                  <c:v>0.61</c:v>
                </c:pt>
                <c:pt idx="34">
                  <c:v>0.62</c:v>
                </c:pt>
                <c:pt idx="35">
                  <c:v>0.64</c:v>
                </c:pt>
                <c:pt idx="36">
                  <c:v>0.67</c:v>
                </c:pt>
                <c:pt idx="37">
                  <c:v>0.69</c:v>
                </c:pt>
                <c:pt idx="38">
                  <c:v>0.69</c:v>
                </c:pt>
                <c:pt idx="39">
                  <c:v>0.7</c:v>
                </c:pt>
                <c:pt idx="40">
                  <c:v>0.71</c:v>
                </c:pt>
                <c:pt idx="41">
                  <c:v>0.73</c:v>
                </c:pt>
                <c:pt idx="42">
                  <c:v>0.74</c:v>
                </c:pt>
                <c:pt idx="43">
                  <c:v>0.75</c:v>
                </c:pt>
                <c:pt idx="44">
                  <c:v>0.76</c:v>
                </c:pt>
                <c:pt idx="45">
                  <c:v>0.77</c:v>
                </c:pt>
                <c:pt idx="46">
                  <c:v>0.77</c:v>
                </c:pt>
                <c:pt idx="47">
                  <c:v>0.78</c:v>
                </c:pt>
                <c:pt idx="48">
                  <c:v>0.84</c:v>
                </c:pt>
                <c:pt idx="49">
                  <c:v>0.86</c:v>
                </c:pt>
                <c:pt idx="50">
                  <c:v>0.89</c:v>
                </c:pt>
                <c:pt idx="51">
                  <c:v>0.9</c:v>
                </c:pt>
                <c:pt idx="52">
                  <c:v>0.9</c:v>
                </c:pt>
                <c:pt idx="53">
                  <c:v>0.9</c:v>
                </c:pt>
                <c:pt idx="54">
                  <c:v>0.92</c:v>
                </c:pt>
                <c:pt idx="55">
                  <c:v>0.93</c:v>
                </c:pt>
                <c:pt idx="56">
                  <c:v>0.94</c:v>
                </c:pt>
                <c:pt idx="57">
                  <c:v>0.94</c:v>
                </c:pt>
                <c:pt idx="58">
                  <c:v>0.96</c:v>
                </c:pt>
                <c:pt idx="59">
                  <c:v>1.04</c:v>
                </c:pt>
                <c:pt idx="60">
                  <c:v>1.07</c:v>
                </c:pt>
                <c:pt idx="61">
                  <c:v>1.41</c:v>
                </c:pt>
                <c:pt idx="62">
                  <c:v>1.53</c:v>
                </c:pt>
                <c:pt idx="63">
                  <c:v>1.69</c:v>
                </c:pt>
                <c:pt idx="64">
                  <c:v>1.74</c:v>
                </c:pt>
                <c:pt idx="65">
                  <c:v>1.86</c:v>
                </c:pt>
                <c:pt idx="66">
                  <c:v>2.02</c:v>
                </c:pt>
                <c:pt idx="67">
                  <c:v>2.17</c:v>
                </c:pt>
                <c:pt idx="68">
                  <c:v>2.4500000000000002</c:v>
                </c:pt>
                <c:pt idx="69">
                  <c:v>2.71</c:v>
                </c:pt>
                <c:pt idx="70">
                  <c:v>2.88</c:v>
                </c:pt>
                <c:pt idx="71">
                  <c:v>3.22</c:v>
                </c:pt>
                <c:pt idx="72">
                  <c:v>3.47</c:v>
                </c:pt>
                <c:pt idx="73">
                  <c:v>3.7</c:v>
                </c:pt>
                <c:pt idx="74">
                  <c:v>3.87</c:v>
                </c:pt>
                <c:pt idx="75">
                  <c:v>4.03</c:v>
                </c:pt>
                <c:pt idx="76">
                  <c:v>4.16</c:v>
                </c:pt>
                <c:pt idx="77">
                  <c:v>4.4400000000000004</c:v>
                </c:pt>
                <c:pt idx="78">
                  <c:v>4.5599999999999996</c:v>
                </c:pt>
                <c:pt idx="79">
                  <c:v>4.71</c:v>
                </c:pt>
                <c:pt idx="80">
                  <c:v>4.88</c:v>
                </c:pt>
                <c:pt idx="81">
                  <c:v>5.0999999999999996</c:v>
                </c:pt>
                <c:pt idx="82">
                  <c:v>5.44</c:v>
                </c:pt>
                <c:pt idx="83">
                  <c:v>5.7</c:v>
                </c:pt>
                <c:pt idx="84">
                  <c:v>6.51</c:v>
                </c:pt>
                <c:pt idx="85">
                  <c:v>7.03</c:v>
                </c:pt>
                <c:pt idx="86">
                  <c:v>7.34</c:v>
                </c:pt>
                <c:pt idx="87">
                  <c:v>7.54</c:v>
                </c:pt>
                <c:pt idx="88">
                  <c:v>7.56</c:v>
                </c:pt>
                <c:pt idx="89">
                  <c:v>7.73</c:v>
                </c:pt>
                <c:pt idx="90">
                  <c:v>7.85</c:v>
                </c:pt>
                <c:pt idx="91">
                  <c:v>7.9</c:v>
                </c:pt>
                <c:pt idx="92">
                  <c:v>7.9</c:v>
                </c:pt>
                <c:pt idx="93">
                  <c:v>8</c:v>
                </c:pt>
                <c:pt idx="94">
                  <c:v>8.0399999999999991</c:v>
                </c:pt>
                <c:pt idx="95">
                  <c:v>8.1</c:v>
                </c:pt>
                <c:pt idx="96">
                  <c:v>8.3000000000000007</c:v>
                </c:pt>
                <c:pt idx="97">
                  <c:v>8.4</c:v>
                </c:pt>
                <c:pt idx="98">
                  <c:v>8.4</c:v>
                </c:pt>
                <c:pt idx="99">
                  <c:v>8.4600000000000009</c:v>
                </c:pt>
                <c:pt idx="100">
                  <c:v>8.41</c:v>
                </c:pt>
                <c:pt idx="101">
                  <c:v>8.7100000000000009</c:v>
                </c:pt>
                <c:pt idx="102">
                  <c:v>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5-3318-45D2-8E58-54861CD88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508224"/>
        <c:axId val="548505600"/>
      </c:line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Anteil an der Landesfläche in Prozent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Stickstoffeintrag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Stickstoffeintrag!$A$8</c:f>
              <c:strCache>
                <c:ptCount val="1"/>
                <c:pt idx="0">
                  <c:v>Stickstoffeintrag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Stickstoffeintrag!$B$7:$AM$7</c:f>
              <c:numCache>
                <c:formatCode>General</c:formatCode>
                <c:ptCount val="38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</c:numCache>
            </c:numRef>
          </c:cat>
          <c:val>
            <c:numRef>
              <c:f>Stickstoffeintrag!$B$8:$AM$8</c:f>
              <c:numCache>
                <c:formatCode>0.0</c:formatCode>
                <c:ptCount val="38"/>
                <c:pt idx="0">
                  <c:v>26</c:v>
                </c:pt>
                <c:pt idx="1">
                  <c:v>27.7</c:v>
                </c:pt>
                <c:pt idx="2">
                  <c:v>26.5</c:v>
                </c:pt>
                <c:pt idx="3">
                  <c:v>33.4</c:v>
                </c:pt>
                <c:pt idx="4">
                  <c:v>32.700000000000003</c:v>
                </c:pt>
                <c:pt idx="5">
                  <c:v>30.4</c:v>
                </c:pt>
                <c:pt idx="6">
                  <c:v>36.1</c:v>
                </c:pt>
                <c:pt idx="7">
                  <c:v>28</c:v>
                </c:pt>
                <c:pt idx="8">
                  <c:v>26.9</c:v>
                </c:pt>
                <c:pt idx="9">
                  <c:v>29.6</c:v>
                </c:pt>
                <c:pt idx="10">
                  <c:v>28.8</c:v>
                </c:pt>
                <c:pt idx="11">
                  <c:v>28.2</c:v>
                </c:pt>
                <c:pt idx="12">
                  <c:v>31.8</c:v>
                </c:pt>
                <c:pt idx="13">
                  <c:v>27.5</c:v>
                </c:pt>
                <c:pt idx="14">
                  <c:v>27.8</c:v>
                </c:pt>
                <c:pt idx="15">
                  <c:v>28.1</c:v>
                </c:pt>
                <c:pt idx="16">
                  <c:v>26.7</c:v>
                </c:pt>
                <c:pt idx="17">
                  <c:v>26.7</c:v>
                </c:pt>
                <c:pt idx="18">
                  <c:v>24.4</c:v>
                </c:pt>
                <c:pt idx="19">
                  <c:v>23.7</c:v>
                </c:pt>
                <c:pt idx="20">
                  <c:v>21.5</c:v>
                </c:pt>
                <c:pt idx="21">
                  <c:v>20.7</c:v>
                </c:pt>
                <c:pt idx="22">
                  <c:v>22.6</c:v>
                </c:pt>
                <c:pt idx="23">
                  <c:v>21.2</c:v>
                </c:pt>
                <c:pt idx="24">
                  <c:v>22</c:v>
                </c:pt>
                <c:pt idx="25">
                  <c:v>18.600000000000001</c:v>
                </c:pt>
                <c:pt idx="26">
                  <c:v>20.9</c:v>
                </c:pt>
                <c:pt idx="27">
                  <c:v>22.1</c:v>
                </c:pt>
                <c:pt idx="28">
                  <c:v>21.3</c:v>
                </c:pt>
                <c:pt idx="29">
                  <c:v>20.399999999999999</c:v>
                </c:pt>
                <c:pt idx="30">
                  <c:v>18.100000000000001</c:v>
                </c:pt>
                <c:pt idx="31">
                  <c:v>18.5</c:v>
                </c:pt>
                <c:pt idx="32">
                  <c:v>19.5</c:v>
                </c:pt>
                <c:pt idx="33">
                  <c:v>21</c:v>
                </c:pt>
                <c:pt idx="34">
                  <c:v>20.6</c:v>
                </c:pt>
                <c:pt idx="35">
                  <c:v>20.5</c:v>
                </c:pt>
                <c:pt idx="36">
                  <c:v>16.7</c:v>
                </c:pt>
                <c:pt idx="37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D8-4C40-B196-3B373AF8A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508224"/>
        <c:axId val="548505600"/>
      </c:line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Kilogramm pro Hektar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Säureeintrag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Säureeintrag!$A$8</c:f>
              <c:strCache>
                <c:ptCount val="1"/>
                <c:pt idx="0">
                  <c:v>Säureeintrag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Säureeintrag!$B$7:$AM$7</c:f>
              <c:numCache>
                <c:formatCode>General</c:formatCode>
                <c:ptCount val="38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</c:numCache>
            </c:numRef>
          </c:cat>
          <c:val>
            <c:numRef>
              <c:f>Säureeintrag!$B$8:$AM$8</c:f>
              <c:numCache>
                <c:formatCode>0.00</c:formatCode>
                <c:ptCount val="38"/>
                <c:pt idx="0">
                  <c:v>3.73</c:v>
                </c:pt>
                <c:pt idx="1">
                  <c:v>3.97</c:v>
                </c:pt>
                <c:pt idx="2">
                  <c:v>3.61</c:v>
                </c:pt>
                <c:pt idx="3">
                  <c:v>3.9</c:v>
                </c:pt>
                <c:pt idx="4">
                  <c:v>4.2</c:v>
                </c:pt>
                <c:pt idx="5">
                  <c:v>3.83</c:v>
                </c:pt>
                <c:pt idx="6">
                  <c:v>3.57</c:v>
                </c:pt>
                <c:pt idx="7">
                  <c:v>2.5499999999999998</c:v>
                </c:pt>
                <c:pt idx="8">
                  <c:v>2.61</c:v>
                </c:pt>
                <c:pt idx="9">
                  <c:v>3.01</c:v>
                </c:pt>
                <c:pt idx="10">
                  <c:v>2.67</c:v>
                </c:pt>
                <c:pt idx="11">
                  <c:v>2.42</c:v>
                </c:pt>
                <c:pt idx="12">
                  <c:v>2.81</c:v>
                </c:pt>
                <c:pt idx="13">
                  <c:v>2.46</c:v>
                </c:pt>
                <c:pt idx="14">
                  <c:v>2.54</c:v>
                </c:pt>
                <c:pt idx="15">
                  <c:v>2.66</c:v>
                </c:pt>
                <c:pt idx="16">
                  <c:v>2.29</c:v>
                </c:pt>
                <c:pt idx="17">
                  <c:v>2.4300000000000002</c:v>
                </c:pt>
                <c:pt idx="18">
                  <c:v>2.2200000000000002</c:v>
                </c:pt>
                <c:pt idx="19">
                  <c:v>2.2599999999999998</c:v>
                </c:pt>
                <c:pt idx="20">
                  <c:v>1.89</c:v>
                </c:pt>
                <c:pt idx="21">
                  <c:v>1.89</c:v>
                </c:pt>
                <c:pt idx="22">
                  <c:v>1.92</c:v>
                </c:pt>
                <c:pt idx="23">
                  <c:v>1.78</c:v>
                </c:pt>
                <c:pt idx="24">
                  <c:v>1.79</c:v>
                </c:pt>
                <c:pt idx="25">
                  <c:v>1.46</c:v>
                </c:pt>
                <c:pt idx="26">
                  <c:v>1.69</c:v>
                </c:pt>
                <c:pt idx="27">
                  <c:v>1.7</c:v>
                </c:pt>
                <c:pt idx="28">
                  <c:v>1.76</c:v>
                </c:pt>
                <c:pt idx="29">
                  <c:v>1.64</c:v>
                </c:pt>
                <c:pt idx="30">
                  <c:v>1.4</c:v>
                </c:pt>
                <c:pt idx="31">
                  <c:v>1.47</c:v>
                </c:pt>
                <c:pt idx="32">
                  <c:v>1.53</c:v>
                </c:pt>
                <c:pt idx="33">
                  <c:v>1.44</c:v>
                </c:pt>
                <c:pt idx="34">
                  <c:v>1.49</c:v>
                </c:pt>
                <c:pt idx="35">
                  <c:v>1.19</c:v>
                </c:pt>
                <c:pt idx="36">
                  <c:v>1.1200000000000001</c:v>
                </c:pt>
                <c:pt idx="37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D7-48C9-97DF-F46962618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508224"/>
        <c:axId val="548505600"/>
      </c:line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Kiloäquivalente pro Hektar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Stickstoff-Flächenbilanz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'N-Flächenbilanz'!$A$8</c:f>
              <c:strCache>
                <c:ptCount val="1"/>
                <c:pt idx="0">
                  <c:v>Stickstoff-Flächenbilanz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'N-Flächenbilanz'!$B$7:$AA$7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'N-Flächenbilanz'!$B$8:$AA$8</c:f>
              <c:numCache>
                <c:formatCode>0</c:formatCode>
                <c:ptCount val="26"/>
                <c:pt idx="0">
                  <c:v>105</c:v>
                </c:pt>
                <c:pt idx="1">
                  <c:v>102</c:v>
                </c:pt>
                <c:pt idx="2">
                  <c:v>93</c:v>
                </c:pt>
                <c:pt idx="3">
                  <c:v>92</c:v>
                </c:pt>
                <c:pt idx="4">
                  <c:v>102</c:v>
                </c:pt>
                <c:pt idx="5">
                  <c:v>107</c:v>
                </c:pt>
                <c:pt idx="6">
                  <c:v>95</c:v>
                </c:pt>
                <c:pt idx="7">
                  <c:v>100</c:v>
                </c:pt>
                <c:pt idx="8">
                  <c:v>117</c:v>
                </c:pt>
                <c:pt idx="9">
                  <c:v>84</c:v>
                </c:pt>
                <c:pt idx="10">
                  <c:v>89</c:v>
                </c:pt>
                <c:pt idx="11">
                  <c:v>93</c:v>
                </c:pt>
                <c:pt idx="12">
                  <c:v>84</c:v>
                </c:pt>
                <c:pt idx="13">
                  <c:v>91</c:v>
                </c:pt>
                <c:pt idx="14">
                  <c:v>75</c:v>
                </c:pt>
                <c:pt idx="15">
                  <c:v>87</c:v>
                </c:pt>
                <c:pt idx="16">
                  <c:v>98</c:v>
                </c:pt>
                <c:pt idx="17">
                  <c:v>91</c:v>
                </c:pt>
                <c:pt idx="18">
                  <c:v>97</c:v>
                </c:pt>
                <c:pt idx="19">
                  <c:v>82</c:v>
                </c:pt>
                <c:pt idx="20">
                  <c:v>110</c:v>
                </c:pt>
                <c:pt idx="21">
                  <c:v>101</c:v>
                </c:pt>
                <c:pt idx="22">
                  <c:v>90</c:v>
                </c:pt>
                <c:pt idx="23">
                  <c:v>109</c:v>
                </c:pt>
                <c:pt idx="24">
                  <c:v>82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12B-41CF-8300-A0E043183A6F}"/>
            </c:ext>
          </c:extLst>
        </c:ser>
        <c:ser>
          <c:idx val="1"/>
          <c:order val="1"/>
          <c:tx>
            <c:strRef>
              <c:f>'N-Flächenbilanz'!$A$9</c:f>
              <c:strCache>
                <c:ptCount val="1"/>
                <c:pt idx="0">
                  <c:v>Gleitendes Mittel über 3 Jahre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'N-Flächenbilanz'!$B$7:$AA$7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'N-Flächenbilanz'!$B$9:$AA$9</c:f>
              <c:numCache>
                <c:formatCode>0</c:formatCode>
                <c:ptCount val="26"/>
                <c:pt idx="1">
                  <c:v>100</c:v>
                </c:pt>
                <c:pt idx="2">
                  <c:v>95.666666666666671</c:v>
                </c:pt>
                <c:pt idx="3">
                  <c:v>95.666666666666671</c:v>
                </c:pt>
                <c:pt idx="4">
                  <c:v>100.33333333333333</c:v>
                </c:pt>
                <c:pt idx="5">
                  <c:v>101.33333333333333</c:v>
                </c:pt>
                <c:pt idx="6">
                  <c:v>100.66666666666667</c:v>
                </c:pt>
                <c:pt idx="7">
                  <c:v>104</c:v>
                </c:pt>
                <c:pt idx="8">
                  <c:v>100.33333333333333</c:v>
                </c:pt>
                <c:pt idx="9">
                  <c:v>96.666666666666671</c:v>
                </c:pt>
                <c:pt idx="10">
                  <c:v>88.666666666666671</c:v>
                </c:pt>
                <c:pt idx="11">
                  <c:v>88.666666666666671</c:v>
                </c:pt>
                <c:pt idx="12">
                  <c:v>89.333333333333329</c:v>
                </c:pt>
                <c:pt idx="13">
                  <c:v>83.333333333333329</c:v>
                </c:pt>
                <c:pt idx="14">
                  <c:v>84.333333333333329</c:v>
                </c:pt>
                <c:pt idx="15">
                  <c:v>86.666666666666671</c:v>
                </c:pt>
                <c:pt idx="16">
                  <c:v>92</c:v>
                </c:pt>
                <c:pt idx="17">
                  <c:v>95.333333333333329</c:v>
                </c:pt>
                <c:pt idx="18">
                  <c:v>90</c:v>
                </c:pt>
                <c:pt idx="19">
                  <c:v>96.333333333333329</c:v>
                </c:pt>
                <c:pt idx="20">
                  <c:v>97.666666666666671</c:v>
                </c:pt>
                <c:pt idx="21">
                  <c:v>100.33333333333333</c:v>
                </c:pt>
                <c:pt idx="22">
                  <c:v>100</c:v>
                </c:pt>
                <c:pt idx="23">
                  <c:v>93.666666666666671</c:v>
                </c:pt>
                <c:pt idx="24">
                  <c:v>90.666666666666671</c:v>
                </c:pt>
                <c:pt idx="25">
                  <c:v>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8-A12B-41CF-8300-A0E043183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508224"/>
        <c:axId val="548505600"/>
      </c:line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Kilogramm Stickstoff pro Hektar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Stickstoffoxidemissionen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Stickstoffdioxidemissionen!$A$8</c:f>
              <c:strCache>
                <c:ptCount val="1"/>
                <c:pt idx="0">
                  <c:v>Industrie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Stickstoffdioxidemissionen!$B$7:$H$7</c:f>
              <c:numCache>
                <c:formatCode>General</c:formatCode>
                <c:ptCount val="7"/>
                <c:pt idx="0">
                  <c:v>1996</c:v>
                </c:pt>
                <c:pt idx="1">
                  <c:v>2000</c:v>
                </c:pt>
                <c:pt idx="2">
                  <c:v>2004</c:v>
                </c:pt>
                <c:pt idx="3">
                  <c:v>2008</c:v>
                </c:pt>
                <c:pt idx="4">
                  <c:v>2012</c:v>
                </c:pt>
                <c:pt idx="5">
                  <c:v>2016</c:v>
                </c:pt>
                <c:pt idx="6">
                  <c:v>2020</c:v>
                </c:pt>
              </c:numCache>
            </c:numRef>
          </c:cat>
          <c:val>
            <c:numRef>
              <c:f>Stickstoffdioxidemissionen!$B$8:$H$8</c:f>
              <c:numCache>
                <c:formatCode>0.0</c:formatCode>
                <c:ptCount val="7"/>
                <c:pt idx="0">
                  <c:v>222</c:v>
                </c:pt>
                <c:pt idx="1">
                  <c:v>202</c:v>
                </c:pt>
                <c:pt idx="2">
                  <c:v>189.6</c:v>
                </c:pt>
                <c:pt idx="3">
                  <c:v>173.96</c:v>
                </c:pt>
                <c:pt idx="4">
                  <c:v>162.69999999999999</c:v>
                </c:pt>
                <c:pt idx="5">
                  <c:v>150.69999999999999</c:v>
                </c:pt>
                <c:pt idx="6">
                  <c:v>103.05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37-4CAF-BE96-16511F036086}"/>
            </c:ext>
          </c:extLst>
        </c:ser>
        <c:ser>
          <c:idx val="1"/>
          <c:order val="1"/>
          <c:tx>
            <c:strRef>
              <c:f>Stickstoffdioxidemissionen!$A$9</c:f>
              <c:strCache>
                <c:ptCount val="1"/>
                <c:pt idx="0">
                  <c:v>Kleinfeuerungsanlagen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Stickstoffdioxidemissionen!$B$7:$H$7</c:f>
              <c:numCache>
                <c:formatCode>General</c:formatCode>
                <c:ptCount val="7"/>
                <c:pt idx="0">
                  <c:v>1996</c:v>
                </c:pt>
                <c:pt idx="1">
                  <c:v>2000</c:v>
                </c:pt>
                <c:pt idx="2">
                  <c:v>2004</c:v>
                </c:pt>
                <c:pt idx="3">
                  <c:v>2008</c:v>
                </c:pt>
                <c:pt idx="4">
                  <c:v>2012</c:v>
                </c:pt>
                <c:pt idx="5">
                  <c:v>2016</c:v>
                </c:pt>
                <c:pt idx="6">
                  <c:v>2020</c:v>
                </c:pt>
              </c:numCache>
            </c:numRef>
          </c:cat>
          <c:val>
            <c:numRef>
              <c:f>Stickstoffdioxidemissionen!$B$9:$H$9</c:f>
              <c:numCache>
                <c:formatCode>0.0</c:formatCode>
                <c:ptCount val="7"/>
                <c:pt idx="0">
                  <c:v>35</c:v>
                </c:pt>
                <c:pt idx="1">
                  <c:v>29</c:v>
                </c:pt>
                <c:pt idx="2">
                  <c:v>21.8</c:v>
                </c:pt>
                <c:pt idx="3">
                  <c:v>19.25</c:v>
                </c:pt>
                <c:pt idx="4">
                  <c:v>15.11</c:v>
                </c:pt>
                <c:pt idx="5">
                  <c:v>14.91</c:v>
                </c:pt>
                <c:pt idx="6">
                  <c:v>14.68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0-4A52-B660-C6A230351DA5}"/>
            </c:ext>
          </c:extLst>
        </c:ser>
        <c:ser>
          <c:idx val="2"/>
          <c:order val="2"/>
          <c:tx>
            <c:strRef>
              <c:f>Stickstoffdioxidemissionen!$A$10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Stickstoffdioxidemissionen!$B$7:$H$7</c:f>
              <c:numCache>
                <c:formatCode>General</c:formatCode>
                <c:ptCount val="7"/>
                <c:pt idx="0">
                  <c:v>1996</c:v>
                </c:pt>
                <c:pt idx="1">
                  <c:v>2000</c:v>
                </c:pt>
                <c:pt idx="2">
                  <c:v>2004</c:v>
                </c:pt>
                <c:pt idx="3">
                  <c:v>2008</c:v>
                </c:pt>
                <c:pt idx="4">
                  <c:v>2012</c:v>
                </c:pt>
                <c:pt idx="5">
                  <c:v>2016</c:v>
                </c:pt>
                <c:pt idx="6">
                  <c:v>2020</c:v>
                </c:pt>
              </c:numCache>
            </c:numRef>
          </c:cat>
          <c:val>
            <c:numRef>
              <c:f>Stickstoffdioxidemissionen!$B$10:$H$10</c:f>
              <c:numCache>
                <c:formatCode>0.0</c:formatCode>
                <c:ptCount val="7"/>
                <c:pt idx="0">
                  <c:v>220.54</c:v>
                </c:pt>
                <c:pt idx="1">
                  <c:v>225.44</c:v>
                </c:pt>
                <c:pt idx="2">
                  <c:v>172.27</c:v>
                </c:pt>
                <c:pt idx="3">
                  <c:v>136.07</c:v>
                </c:pt>
                <c:pt idx="4">
                  <c:v>105.56</c:v>
                </c:pt>
                <c:pt idx="5">
                  <c:v>102.06</c:v>
                </c:pt>
                <c:pt idx="6">
                  <c:v>79.400000000000006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0-4A52-B660-C6A230351DA5}"/>
            </c:ext>
          </c:extLst>
        </c:ser>
        <c:ser>
          <c:idx val="3"/>
          <c:order val="3"/>
          <c:tx>
            <c:strRef>
              <c:f>Stickstoffdioxidemissionen!$A$11</c:f>
              <c:strCache>
                <c:ptCount val="1"/>
                <c:pt idx="0">
                  <c:v>Landwirtschaft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Stickstoffdioxidemissionen!$B$7:$H$7</c:f>
              <c:numCache>
                <c:formatCode>General</c:formatCode>
                <c:ptCount val="7"/>
                <c:pt idx="0">
                  <c:v>1996</c:v>
                </c:pt>
                <c:pt idx="1">
                  <c:v>2000</c:v>
                </c:pt>
                <c:pt idx="2">
                  <c:v>2004</c:v>
                </c:pt>
                <c:pt idx="3">
                  <c:v>2008</c:v>
                </c:pt>
                <c:pt idx="4">
                  <c:v>2012</c:v>
                </c:pt>
                <c:pt idx="5">
                  <c:v>2016</c:v>
                </c:pt>
                <c:pt idx="6">
                  <c:v>2020</c:v>
                </c:pt>
              </c:numCache>
            </c:numRef>
          </c:cat>
          <c:val>
            <c:numRef>
              <c:f>Stickstoffdioxidemissionen!$B$11:$H$11</c:f>
              <c:numCache>
                <c:formatCode>0.0</c:formatCode>
                <c:ptCount val="7"/>
                <c:pt idx="0">
                  <c:v>13</c:v>
                </c:pt>
                <c:pt idx="1">
                  <c:v>13.17</c:v>
                </c:pt>
                <c:pt idx="2">
                  <c:v>12.51</c:v>
                </c:pt>
                <c:pt idx="3">
                  <c:v>12.3</c:v>
                </c:pt>
                <c:pt idx="4">
                  <c:v>13.02</c:v>
                </c:pt>
                <c:pt idx="5">
                  <c:v>13.54</c:v>
                </c:pt>
                <c:pt idx="6">
                  <c:v>11.86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40-4A52-B660-C6A230351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8508224"/>
        <c:axId val="548505600"/>
      </c:bar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Tonnen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'HNV-Farmland'!$B$1</c:f>
          <c:strCache>
            <c:ptCount val="1"/>
            <c:pt idx="0">
              <c:v>Landwirtschaftsflächen mit hohem Naturwert (HNV)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'HNV-Farmland'!$A$8</c:f>
              <c:strCache>
                <c:ptCount val="1"/>
                <c:pt idx="0">
                  <c:v>Mäßig hoher Naturwert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'HNV-Farmland'!$B$7:$N$7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'HNV-Farmland'!$B$8:$N$8</c:f>
              <c:numCache>
                <c:formatCode>0.0</c:formatCode>
                <c:ptCount val="13"/>
                <c:pt idx="0">
                  <c:v>7.6</c:v>
                </c:pt>
                <c:pt idx="1">
                  <c:v>7.2</c:v>
                </c:pt>
                <c:pt idx="2">
                  <c:v>6.7</c:v>
                </c:pt>
                <c:pt idx="3">
                  <c:v>6.5</c:v>
                </c:pt>
                <c:pt idx="4">
                  <c:v>6.5</c:v>
                </c:pt>
                <c:pt idx="5">
                  <c:v>6.1</c:v>
                </c:pt>
                <c:pt idx="6">
                  <c:v>5.9</c:v>
                </c:pt>
                <c:pt idx="7">
                  <c:v>5.9</c:v>
                </c:pt>
                <c:pt idx="8">
                  <c:v>6.1</c:v>
                </c:pt>
                <c:pt idx="9">
                  <c:v>6.1</c:v>
                </c:pt>
                <c:pt idx="10">
                  <c:v>5.9</c:v>
                </c:pt>
                <c:pt idx="11">
                  <c:v>5.8</c:v>
                </c:pt>
                <c:pt idx="12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3-48B2-8CBA-3475F21C8545}"/>
            </c:ext>
          </c:extLst>
        </c:ser>
        <c:ser>
          <c:idx val="1"/>
          <c:order val="1"/>
          <c:tx>
            <c:strRef>
              <c:f>'HNV-Farmland'!$A$9</c:f>
              <c:strCache>
                <c:ptCount val="1"/>
                <c:pt idx="0">
                  <c:v>Sehr hoher Naturwert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'HNV-Farmland'!$B$7:$N$7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'HNV-Farmland'!$B$9:$N$9</c:f>
              <c:numCache>
                <c:formatCode>0.0</c:formatCode>
                <c:ptCount val="13"/>
                <c:pt idx="0">
                  <c:v>4.0999999999999996</c:v>
                </c:pt>
                <c:pt idx="1">
                  <c:v>4.0999999999999996</c:v>
                </c:pt>
                <c:pt idx="2">
                  <c:v>4.0999999999999996</c:v>
                </c:pt>
                <c:pt idx="3">
                  <c:v>4.2</c:v>
                </c:pt>
                <c:pt idx="4">
                  <c:v>4.2</c:v>
                </c:pt>
                <c:pt idx="5">
                  <c:v>4.5999999999999996</c:v>
                </c:pt>
                <c:pt idx="6">
                  <c:v>5</c:v>
                </c:pt>
                <c:pt idx="7">
                  <c:v>5</c:v>
                </c:pt>
                <c:pt idx="8">
                  <c:v>4.9000000000000004</c:v>
                </c:pt>
                <c:pt idx="9">
                  <c:v>4.5999999999999996</c:v>
                </c:pt>
                <c:pt idx="10">
                  <c:v>4.7</c:v>
                </c:pt>
                <c:pt idx="11">
                  <c:v>4.7</c:v>
                </c:pt>
                <c:pt idx="12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33-48B2-8CBA-3475F21C8545}"/>
            </c:ext>
          </c:extLst>
        </c:ser>
        <c:ser>
          <c:idx val="2"/>
          <c:order val="2"/>
          <c:tx>
            <c:strRef>
              <c:f>'HNV-Farmland'!$A$10</c:f>
              <c:strCache>
                <c:ptCount val="1"/>
                <c:pt idx="0">
                  <c:v>Äußerst hoher Naturwert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'HNV-Farmland'!$B$7:$N$7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'HNV-Farmland'!$B$10:$N$10</c:f>
              <c:numCache>
                <c:formatCode>0.0</c:formatCode>
                <c:ptCount val="13"/>
                <c:pt idx="0">
                  <c:v>2.1</c:v>
                </c:pt>
                <c:pt idx="1">
                  <c:v>2.1</c:v>
                </c:pt>
                <c:pt idx="2">
                  <c:v>2.1</c:v>
                </c:pt>
                <c:pt idx="3">
                  <c:v>2.1</c:v>
                </c:pt>
                <c:pt idx="4">
                  <c:v>2.1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2.4</c:v>
                </c:pt>
                <c:pt idx="8">
                  <c:v>2.6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33-48B2-8CBA-3475F21C8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701032"/>
        <c:axId val="880699064"/>
      </c:barChart>
      <c:catAx>
        <c:axId val="88070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0699064"/>
        <c:crosses val="autoZero"/>
        <c:auto val="1"/>
        <c:lblAlgn val="ctr"/>
        <c:lblOffset val="100"/>
        <c:noMultiLvlLbl val="0"/>
      </c:catAx>
      <c:valAx>
        <c:axId val="88069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0701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Stickstoffdioxidkonzentration im städtischen Hintergrund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'NO2-Kontentration HG'!$A$8</c:f>
              <c:strCache>
                <c:ptCount val="1"/>
                <c:pt idx="0">
                  <c:v>Stickstoffdioxidkonzentration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'NO2-Kontentration HG'!$B$7:$AH$7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'NO2-Kontentration HG'!$B$8:$AH$8</c:f>
              <c:numCache>
                <c:formatCode>0</c:formatCode>
                <c:ptCount val="33"/>
                <c:pt idx="0">
                  <c:v>38</c:v>
                </c:pt>
                <c:pt idx="1">
                  <c:v>40</c:v>
                </c:pt>
                <c:pt idx="2">
                  <c:v>39</c:v>
                </c:pt>
                <c:pt idx="3">
                  <c:v>36</c:v>
                </c:pt>
                <c:pt idx="4">
                  <c:v>35</c:v>
                </c:pt>
                <c:pt idx="5">
                  <c:v>34</c:v>
                </c:pt>
                <c:pt idx="6">
                  <c:v>35</c:v>
                </c:pt>
                <c:pt idx="7">
                  <c:v>35</c:v>
                </c:pt>
                <c:pt idx="8">
                  <c:v>33</c:v>
                </c:pt>
                <c:pt idx="9">
                  <c:v>32</c:v>
                </c:pt>
                <c:pt idx="10">
                  <c:v>30</c:v>
                </c:pt>
                <c:pt idx="11">
                  <c:v>31</c:v>
                </c:pt>
                <c:pt idx="12">
                  <c:v>30</c:v>
                </c:pt>
                <c:pt idx="13">
                  <c:v>34</c:v>
                </c:pt>
                <c:pt idx="14">
                  <c:v>31</c:v>
                </c:pt>
                <c:pt idx="15">
                  <c:v>31</c:v>
                </c:pt>
                <c:pt idx="16">
                  <c:v>29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28</c:v>
                </c:pt>
                <c:pt idx="21">
                  <c:v>26</c:v>
                </c:pt>
                <c:pt idx="22">
                  <c:v>25</c:v>
                </c:pt>
                <c:pt idx="23">
                  <c:v>25</c:v>
                </c:pt>
                <c:pt idx="24">
                  <c:v>24</c:v>
                </c:pt>
                <c:pt idx="25">
                  <c:v>23</c:v>
                </c:pt>
                <c:pt idx="26">
                  <c:v>24</c:v>
                </c:pt>
                <c:pt idx="27">
                  <c:v>23</c:v>
                </c:pt>
                <c:pt idx="28">
                  <c:v>22</c:v>
                </c:pt>
                <c:pt idx="29">
                  <c:v>20</c:v>
                </c:pt>
                <c:pt idx="30">
                  <c:v>17</c:v>
                </c:pt>
                <c:pt idx="31">
                  <c:v>18</c:v>
                </c:pt>
                <c:pt idx="32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7F-498F-BACA-816B84A01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508224"/>
        <c:axId val="548505600"/>
      </c:line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Jahresmittelwert in Mikrogramm pro Kubikmeter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Feinstaubkonzentration PM10 im städtischen Hintergrund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'Feinstaubkonz. PM 2.5 10'!$A$8</c:f>
              <c:strCache>
                <c:ptCount val="1"/>
                <c:pt idx="0">
                  <c:v>PM10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'Feinstaubkonz. PM 2.5 10'!$B$7:$W$7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'Feinstaubkonz. PM 2.5 10'!$B$8:$W$8</c:f>
              <c:numCache>
                <c:formatCode>0</c:formatCode>
                <c:ptCount val="22"/>
                <c:pt idx="0">
                  <c:v>23</c:v>
                </c:pt>
                <c:pt idx="1">
                  <c:v>26</c:v>
                </c:pt>
                <c:pt idx="2">
                  <c:v>27</c:v>
                </c:pt>
                <c:pt idx="3">
                  <c:v>24</c:v>
                </c:pt>
                <c:pt idx="4">
                  <c:v>24</c:v>
                </c:pt>
                <c:pt idx="5">
                  <c:v>25</c:v>
                </c:pt>
                <c:pt idx="6">
                  <c:v>24</c:v>
                </c:pt>
                <c:pt idx="7">
                  <c:v>22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  <c:pt idx="11">
                  <c:v>21</c:v>
                </c:pt>
                <c:pt idx="12">
                  <c:v>21</c:v>
                </c:pt>
                <c:pt idx="13">
                  <c:v>19</c:v>
                </c:pt>
                <c:pt idx="14">
                  <c:v>18</c:v>
                </c:pt>
                <c:pt idx="15">
                  <c:v>20</c:v>
                </c:pt>
                <c:pt idx="16">
                  <c:v>17</c:v>
                </c:pt>
                <c:pt idx="17">
                  <c:v>18</c:v>
                </c:pt>
                <c:pt idx="18">
                  <c:v>16</c:v>
                </c:pt>
                <c:pt idx="19">
                  <c:v>15</c:v>
                </c:pt>
                <c:pt idx="20">
                  <c:v>15</c:v>
                </c:pt>
                <c:pt idx="2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D4-4878-912A-FBE7EBCF9A5F}"/>
            </c:ext>
          </c:extLst>
        </c:ser>
        <c:ser>
          <c:idx val="1"/>
          <c:order val="1"/>
          <c:tx>
            <c:strRef>
              <c:f>'Feinstaubkonz. PM 2.5 10'!$A$9</c:f>
              <c:strCache>
                <c:ptCount val="1"/>
                <c:pt idx="0">
                  <c:v>PM2.5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'Feinstaubkonz. PM 2.5 10'!$B$7:$W$7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'Feinstaubkonz. PM 2.5 10'!$B$9:$W$9</c:f>
              <c:numCache>
                <c:formatCode>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17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15</c:v>
                </c:pt>
                <c:pt idx="12">
                  <c:v>16</c:v>
                </c:pt>
                <c:pt idx="13">
                  <c:v>15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0C-49D9-ABF0-3C79ED95E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508224"/>
        <c:axId val="548505600"/>
      </c:line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Jahresmittelwert in Mikrogramm pro Kubikmeter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Ozonkonzentration im städtischen Hintergrund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'Ozonkonzentration HG'!$A$8</c:f>
              <c:strCache>
                <c:ptCount val="1"/>
                <c:pt idx="0">
                  <c:v>Ozonkonzentration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'Ozonkonzentration HG'!$B$7:$AG$7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'Ozonkonzentration HG'!$B$8:$AG$8</c:f>
              <c:numCache>
                <c:formatCode>0</c:formatCode>
                <c:ptCount val="32"/>
                <c:pt idx="0">
                  <c:v>43</c:v>
                </c:pt>
                <c:pt idx="1">
                  <c:v>4</c:v>
                </c:pt>
                <c:pt idx="2">
                  <c:v>17</c:v>
                </c:pt>
                <c:pt idx="3">
                  <c:v>12</c:v>
                </c:pt>
                <c:pt idx="4">
                  <c:v>42</c:v>
                </c:pt>
                <c:pt idx="5">
                  <c:v>37</c:v>
                </c:pt>
                <c:pt idx="6">
                  <c:v>6</c:v>
                </c:pt>
                <c:pt idx="7">
                  <c:v>5</c:v>
                </c:pt>
                <c:pt idx="8">
                  <c:v>12</c:v>
                </c:pt>
                <c:pt idx="9">
                  <c:v>2</c:v>
                </c:pt>
                <c:pt idx="10">
                  <c:v>4</c:v>
                </c:pt>
                <c:pt idx="11">
                  <c:v>17</c:v>
                </c:pt>
                <c:pt idx="12">
                  <c:v>2</c:v>
                </c:pt>
                <c:pt idx="13">
                  <c:v>43</c:v>
                </c:pt>
                <c:pt idx="14">
                  <c:v>3</c:v>
                </c:pt>
                <c:pt idx="15">
                  <c:v>6</c:v>
                </c:pt>
                <c:pt idx="16">
                  <c:v>24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21</c:v>
                </c:pt>
                <c:pt idx="21">
                  <c:v>1</c:v>
                </c:pt>
                <c:pt idx="22">
                  <c:v>6</c:v>
                </c:pt>
                <c:pt idx="23">
                  <c:v>3</c:v>
                </c:pt>
                <c:pt idx="24">
                  <c:v>0</c:v>
                </c:pt>
                <c:pt idx="25">
                  <c:v>14</c:v>
                </c:pt>
                <c:pt idx="26">
                  <c:v>4</c:v>
                </c:pt>
                <c:pt idx="27">
                  <c:v>3</c:v>
                </c:pt>
                <c:pt idx="28">
                  <c:v>13</c:v>
                </c:pt>
                <c:pt idx="29">
                  <c:v>15</c:v>
                </c:pt>
                <c:pt idx="30">
                  <c:v>8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E7-4045-922D-9885C6D8A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508224"/>
        <c:axId val="548505600"/>
      </c:line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 Stundenmittelwerte über 180 Mikrogramm pro Kubikmeter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Lärmbelastung "Lden"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'Lärmbelastung Lden'!$A$8</c:f>
              <c:strCache>
                <c:ptCount val="1"/>
                <c:pt idx="0">
                  <c:v>Ballungsräume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'Lärmbelastung Lden'!$B$7:$F$7</c:f>
              <c:strCache>
                <c:ptCount val="5"/>
                <c:pt idx="0">
                  <c:v>Straße</c:v>
                </c:pt>
                <c:pt idx="1">
                  <c:v>Bundesschienenwege</c:v>
                </c:pt>
                <c:pt idx="2">
                  <c:v>Sonstige Schienenwege</c:v>
                </c:pt>
                <c:pt idx="3">
                  <c:v>Fluglärm</c:v>
                </c:pt>
                <c:pt idx="4">
                  <c:v>Industrie</c:v>
                </c:pt>
              </c:strCache>
            </c:strRef>
          </c:cat>
          <c:val>
            <c:numRef>
              <c:f>'Lärmbelastung Lden'!$B$8:$F$8</c:f>
              <c:numCache>
                <c:formatCode>0</c:formatCode>
                <c:ptCount val="5"/>
                <c:pt idx="0">
                  <c:v>646200</c:v>
                </c:pt>
                <c:pt idx="1">
                  <c:v>128600</c:v>
                </c:pt>
                <c:pt idx="2">
                  <c:v>62400</c:v>
                </c:pt>
                <c:pt idx="3">
                  <c:v>1800</c:v>
                </c:pt>
                <c:pt idx="4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CD-4066-AC0D-FD455CFF325E}"/>
            </c:ext>
          </c:extLst>
        </c:ser>
        <c:ser>
          <c:idx val="1"/>
          <c:order val="1"/>
          <c:tx>
            <c:strRef>
              <c:f>'Lärmbelastung Lden'!$A$9</c:f>
              <c:strCache>
                <c:ptCount val="1"/>
                <c:pt idx="0">
                  <c:v>nicht Ballungsräume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'Lärmbelastung Lden'!$B$7:$F$7</c:f>
              <c:strCache>
                <c:ptCount val="5"/>
                <c:pt idx="0">
                  <c:v>Straße</c:v>
                </c:pt>
                <c:pt idx="1">
                  <c:v>Bundesschienenwege</c:v>
                </c:pt>
                <c:pt idx="2">
                  <c:v>Sonstige Schienenwege</c:v>
                </c:pt>
                <c:pt idx="3">
                  <c:v>Fluglärm</c:v>
                </c:pt>
                <c:pt idx="4">
                  <c:v>Industrie</c:v>
                </c:pt>
              </c:strCache>
            </c:strRef>
          </c:cat>
          <c:val>
            <c:numRef>
              <c:f>'Lärmbelastung Lden'!$B$9:$F$9</c:f>
              <c:numCache>
                <c:formatCode>0</c:formatCode>
                <c:ptCount val="5"/>
                <c:pt idx="0">
                  <c:v>131300</c:v>
                </c:pt>
                <c:pt idx="1">
                  <c:v>87300</c:v>
                </c:pt>
                <c:pt idx="2">
                  <c:v>1600</c:v>
                </c:pt>
                <c:pt idx="3">
                  <c:v>2200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CD-4066-AC0D-FD455CFF3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0391344"/>
        <c:axId val="850391672"/>
      </c:barChart>
      <c:catAx>
        <c:axId val="850391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391672"/>
        <c:crosses val="autoZero"/>
        <c:auto val="1"/>
        <c:lblAlgn val="ctr"/>
        <c:lblOffset val="100"/>
        <c:noMultiLvlLbl val="0"/>
      </c:catAx>
      <c:valAx>
        <c:axId val="8503916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 Betroffene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39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Lärmbelastung "Night"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'Lärmbelastung Lnight'!$A$8</c:f>
              <c:strCache>
                <c:ptCount val="1"/>
                <c:pt idx="0">
                  <c:v>Ballungsräume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'Lärmbelastung Lnight'!$B$7:$F$7</c:f>
              <c:strCache>
                <c:ptCount val="5"/>
                <c:pt idx="0">
                  <c:v>Straße</c:v>
                </c:pt>
                <c:pt idx="1">
                  <c:v>Bundesschienenwege</c:v>
                </c:pt>
                <c:pt idx="2">
                  <c:v>Sonstige Schienenwege</c:v>
                </c:pt>
                <c:pt idx="3">
                  <c:v>Fluglärm</c:v>
                </c:pt>
                <c:pt idx="4">
                  <c:v>Industrie</c:v>
                </c:pt>
              </c:strCache>
            </c:strRef>
          </c:cat>
          <c:val>
            <c:numRef>
              <c:f>'Lärmbelastung Lnight'!$B$8:$F$8</c:f>
              <c:numCache>
                <c:formatCode>0</c:formatCode>
                <c:ptCount val="5"/>
                <c:pt idx="0">
                  <c:v>722200</c:v>
                </c:pt>
                <c:pt idx="1">
                  <c:v>273000</c:v>
                </c:pt>
                <c:pt idx="2">
                  <c:v>87500</c:v>
                </c:pt>
                <c:pt idx="3">
                  <c:v>5600</c:v>
                </c:pt>
                <c:pt idx="4">
                  <c:v>1700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A-42B4-8F29-943989EF8CCF}"/>
            </c:ext>
          </c:extLst>
        </c:ser>
        <c:ser>
          <c:idx val="1"/>
          <c:order val="1"/>
          <c:tx>
            <c:strRef>
              <c:f>'Lärmbelastung Lnight'!$A$9</c:f>
              <c:strCache>
                <c:ptCount val="1"/>
                <c:pt idx="0">
                  <c:v>nicht Ballungsräume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'Lärmbelastung Lnight'!$B$7:$F$7</c:f>
              <c:strCache>
                <c:ptCount val="5"/>
                <c:pt idx="0">
                  <c:v>Straße</c:v>
                </c:pt>
                <c:pt idx="1">
                  <c:v>Bundesschienenwege</c:v>
                </c:pt>
                <c:pt idx="2">
                  <c:v>Sonstige Schienenwege</c:v>
                </c:pt>
                <c:pt idx="3">
                  <c:v>Fluglärm</c:v>
                </c:pt>
                <c:pt idx="4">
                  <c:v>Industrie</c:v>
                </c:pt>
              </c:strCache>
            </c:strRef>
          </c:cat>
          <c:val>
            <c:numRef>
              <c:f>'Lärmbelastung Lnight'!$B$9:$F$9</c:f>
              <c:numCache>
                <c:formatCode>0</c:formatCode>
                <c:ptCount val="5"/>
                <c:pt idx="0">
                  <c:v>159400</c:v>
                </c:pt>
                <c:pt idx="1">
                  <c:v>194800</c:v>
                </c:pt>
                <c:pt idx="2">
                  <c:v>2400</c:v>
                </c:pt>
                <c:pt idx="3">
                  <c:v>7600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EA-42B4-8F29-943989EF8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0391344"/>
        <c:axId val="850391672"/>
      </c:barChart>
      <c:catAx>
        <c:axId val="850391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391672"/>
        <c:crosses val="autoZero"/>
        <c:auto val="1"/>
        <c:lblAlgn val="ctr"/>
        <c:lblOffset val="100"/>
        <c:noMultiLvlLbl val="0"/>
      </c:catAx>
      <c:valAx>
        <c:axId val="8503916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 Betroffene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39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Haus- und Sperrmüll, Bio- und Grünabfälle sowie werthaltige</a:t>
            </a:r>
            <a:r>
              <a:rPr lang="de-DE" baseline="0"/>
              <a:t> Abfälle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'HH-Abfälle'!$A$8</c:f>
              <c:strCache>
                <c:ptCount val="1"/>
                <c:pt idx="0">
                  <c:v>Summe Haushaltsabfälle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'HH-Abfälle'!$B$7:$AB$7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'HH-Abfälle'!$B$8:$AB$8</c:f>
              <c:numCache>
                <c:formatCode>0</c:formatCode>
                <c:ptCount val="27"/>
                <c:pt idx="0">
                  <c:v>460</c:v>
                </c:pt>
                <c:pt idx="1">
                  <c:v>468</c:v>
                </c:pt>
                <c:pt idx="2">
                  <c:v>472</c:v>
                </c:pt>
                <c:pt idx="3">
                  <c:v>467</c:v>
                </c:pt>
                <c:pt idx="4">
                  <c:v>480</c:v>
                </c:pt>
                <c:pt idx="5">
                  <c:v>478</c:v>
                </c:pt>
                <c:pt idx="6">
                  <c:v>466</c:v>
                </c:pt>
                <c:pt idx="7">
                  <c:v>469</c:v>
                </c:pt>
                <c:pt idx="8">
                  <c:v>454</c:v>
                </c:pt>
                <c:pt idx="9">
                  <c:v>464</c:v>
                </c:pt>
                <c:pt idx="10">
                  <c:v>462</c:v>
                </c:pt>
                <c:pt idx="11">
                  <c:v>470</c:v>
                </c:pt>
                <c:pt idx="12">
                  <c:v>472</c:v>
                </c:pt>
                <c:pt idx="13">
                  <c:v>465</c:v>
                </c:pt>
                <c:pt idx="14">
                  <c:v>467</c:v>
                </c:pt>
                <c:pt idx="15">
                  <c:v>458</c:v>
                </c:pt>
                <c:pt idx="16">
                  <c:v>465</c:v>
                </c:pt>
                <c:pt idx="17">
                  <c:v>472</c:v>
                </c:pt>
                <c:pt idx="18">
                  <c:v>462</c:v>
                </c:pt>
                <c:pt idx="19">
                  <c:v>480</c:v>
                </c:pt>
                <c:pt idx="20">
                  <c:v>467</c:v>
                </c:pt>
                <c:pt idx="21">
                  <c:v>472</c:v>
                </c:pt>
                <c:pt idx="22">
                  <c:v>470</c:v>
                </c:pt>
                <c:pt idx="23">
                  <c:v>456</c:v>
                </c:pt>
                <c:pt idx="24">
                  <c:v>464</c:v>
                </c:pt>
                <c:pt idx="25">
                  <c:v>481</c:v>
                </c:pt>
                <c:pt idx="26">
                  <c:v>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9-4BC0-938F-B91BF33CB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9468360"/>
        <c:axId val="679459176"/>
      </c:barChart>
      <c:lineChart>
        <c:grouping val="standard"/>
        <c:varyColors val="0"/>
        <c:ser>
          <c:idx val="1"/>
          <c:order val="1"/>
          <c:tx>
            <c:strRef>
              <c:f>'HH-Abfälle'!$A$9</c:f>
              <c:strCache>
                <c:ptCount val="1"/>
                <c:pt idx="0">
                  <c:v>Hausmüll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'HH-Abfälle'!$B$7:$AB$7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'HH-Abfälle'!$B$9:$AB$9</c:f>
              <c:numCache>
                <c:formatCode>0</c:formatCode>
                <c:ptCount val="27"/>
                <c:pt idx="0">
                  <c:v>286</c:v>
                </c:pt>
                <c:pt idx="1">
                  <c:v>277</c:v>
                </c:pt>
                <c:pt idx="2">
                  <c:v>269</c:v>
                </c:pt>
                <c:pt idx="3">
                  <c:v>258</c:v>
                </c:pt>
                <c:pt idx="4">
                  <c:v>251</c:v>
                </c:pt>
                <c:pt idx="5">
                  <c:v>245</c:v>
                </c:pt>
                <c:pt idx="6">
                  <c:v>237</c:v>
                </c:pt>
                <c:pt idx="7">
                  <c:v>233</c:v>
                </c:pt>
                <c:pt idx="8">
                  <c:v>225</c:v>
                </c:pt>
                <c:pt idx="9">
                  <c:v>229</c:v>
                </c:pt>
                <c:pt idx="10">
                  <c:v>228</c:v>
                </c:pt>
                <c:pt idx="11">
                  <c:v>228</c:v>
                </c:pt>
                <c:pt idx="12">
                  <c:v>226</c:v>
                </c:pt>
                <c:pt idx="13">
                  <c:v>223</c:v>
                </c:pt>
                <c:pt idx="14">
                  <c:v>226</c:v>
                </c:pt>
                <c:pt idx="15">
                  <c:v>222</c:v>
                </c:pt>
                <c:pt idx="16">
                  <c:v>223</c:v>
                </c:pt>
                <c:pt idx="17">
                  <c:v>219</c:v>
                </c:pt>
                <c:pt idx="18">
                  <c:v>213</c:v>
                </c:pt>
                <c:pt idx="19">
                  <c:v>216</c:v>
                </c:pt>
                <c:pt idx="20">
                  <c:v>211</c:v>
                </c:pt>
                <c:pt idx="21">
                  <c:v>212</c:v>
                </c:pt>
                <c:pt idx="22">
                  <c:v>212</c:v>
                </c:pt>
                <c:pt idx="23">
                  <c:v>210</c:v>
                </c:pt>
                <c:pt idx="24">
                  <c:v>213</c:v>
                </c:pt>
                <c:pt idx="25">
                  <c:v>224</c:v>
                </c:pt>
                <c:pt idx="26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39-4BC0-938F-B91BF33CBE8E}"/>
            </c:ext>
          </c:extLst>
        </c:ser>
        <c:ser>
          <c:idx val="2"/>
          <c:order val="2"/>
          <c:tx>
            <c:strRef>
              <c:f>'HH-Abfälle'!$A$10</c:f>
              <c:strCache>
                <c:ptCount val="1"/>
                <c:pt idx="0">
                  <c:v>Bio- und Grünabfälle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'HH-Abfälle'!$B$7:$AB$7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'HH-Abfälle'!$B$10:$AB$10</c:f>
              <c:numCache>
                <c:formatCode>0</c:formatCode>
                <c:ptCount val="27"/>
                <c:pt idx="0">
                  <c:v>174</c:v>
                </c:pt>
                <c:pt idx="1">
                  <c:v>191</c:v>
                </c:pt>
                <c:pt idx="2">
                  <c:v>203</c:v>
                </c:pt>
                <c:pt idx="3">
                  <c:v>209</c:v>
                </c:pt>
                <c:pt idx="4">
                  <c:v>229</c:v>
                </c:pt>
                <c:pt idx="5">
                  <c:v>233</c:v>
                </c:pt>
                <c:pt idx="6">
                  <c:v>229</c:v>
                </c:pt>
                <c:pt idx="7">
                  <c:v>236</c:v>
                </c:pt>
                <c:pt idx="8">
                  <c:v>229</c:v>
                </c:pt>
                <c:pt idx="9">
                  <c:v>235</c:v>
                </c:pt>
                <c:pt idx="10">
                  <c:v>234</c:v>
                </c:pt>
                <c:pt idx="11">
                  <c:v>242</c:v>
                </c:pt>
                <c:pt idx="12">
                  <c:v>246</c:v>
                </c:pt>
                <c:pt idx="13">
                  <c:v>242</c:v>
                </c:pt>
                <c:pt idx="14">
                  <c:v>241</c:v>
                </c:pt>
                <c:pt idx="15">
                  <c:v>236</c:v>
                </c:pt>
                <c:pt idx="16">
                  <c:v>242</c:v>
                </c:pt>
                <c:pt idx="17">
                  <c:v>253</c:v>
                </c:pt>
                <c:pt idx="18">
                  <c:v>249</c:v>
                </c:pt>
                <c:pt idx="19">
                  <c:v>264</c:v>
                </c:pt>
                <c:pt idx="20">
                  <c:v>256</c:v>
                </c:pt>
                <c:pt idx="21">
                  <c:v>260</c:v>
                </c:pt>
                <c:pt idx="22">
                  <c:v>258</c:v>
                </c:pt>
                <c:pt idx="23">
                  <c:v>246</c:v>
                </c:pt>
                <c:pt idx="24">
                  <c:v>251</c:v>
                </c:pt>
                <c:pt idx="25">
                  <c:v>257</c:v>
                </c:pt>
                <c:pt idx="26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E1-48FB-8A10-18133B85D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468360"/>
        <c:axId val="679459176"/>
      </c:lineChart>
      <c:catAx>
        <c:axId val="67946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9459176"/>
        <c:crosses val="autoZero"/>
        <c:auto val="1"/>
        <c:lblAlgn val="ctr"/>
        <c:lblOffset val="100"/>
        <c:noMultiLvlLbl val="0"/>
      </c:catAx>
      <c:valAx>
        <c:axId val="679459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Abfälle in Kilogramm pro Kopf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9468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Recyclingquote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Recyclingqote!$A$8</c:f>
              <c:strCache>
                <c:ptCount val="1"/>
                <c:pt idx="0">
                  <c:v>Recyclingquote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Recyclingqote!$B$7:$AA$7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Recyclingqote!$B$8:$AA$8</c:f>
              <c:numCache>
                <c:formatCode>0</c:formatCode>
                <c:ptCount val="26"/>
                <c:pt idx="0">
                  <c:v>36</c:v>
                </c:pt>
                <c:pt idx="1">
                  <c:v>39</c:v>
                </c:pt>
                <c:pt idx="2">
                  <c:v>41</c:v>
                </c:pt>
                <c:pt idx="3">
                  <c:v>44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47</c:v>
                </c:pt>
                <c:pt idx="8">
                  <c:v>45</c:v>
                </c:pt>
                <c:pt idx="9">
                  <c:v>46</c:v>
                </c:pt>
                <c:pt idx="10">
                  <c:v>46</c:v>
                </c:pt>
                <c:pt idx="11">
                  <c:v>47</c:v>
                </c:pt>
                <c:pt idx="12">
                  <c:v>47</c:v>
                </c:pt>
                <c:pt idx="13">
                  <c:v>48</c:v>
                </c:pt>
                <c:pt idx="14">
                  <c:v>48</c:v>
                </c:pt>
                <c:pt idx="15">
                  <c:v>48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FD-422B-B92F-EEEFD1836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508224"/>
        <c:axId val="548505600"/>
      </c:lineChart>
      <c:catAx>
        <c:axId val="5485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5600"/>
        <c:crosses val="autoZero"/>
        <c:auto val="1"/>
        <c:lblAlgn val="ctr"/>
        <c:lblOffset val="100"/>
        <c:noMultiLvlLbl val="0"/>
      </c:catAx>
      <c:valAx>
        <c:axId val="548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Recyclingquote in Prozent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8508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30</xdr:row>
      <xdr:rowOff>19050</xdr:rowOff>
    </xdr:from>
    <xdr:to>
      <xdr:col>18</xdr:col>
      <xdr:colOff>114300</xdr:colOff>
      <xdr:row>55</xdr:row>
      <xdr:rowOff>9525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24</xdr:row>
      <xdr:rowOff>171450</xdr:rowOff>
    </xdr:from>
    <xdr:to>
      <xdr:col>22</xdr:col>
      <xdr:colOff>104775</xdr:colOff>
      <xdr:row>47</xdr:row>
      <xdr:rowOff>57150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25</xdr:row>
      <xdr:rowOff>104775</xdr:rowOff>
    </xdr:from>
    <xdr:to>
      <xdr:col>24</xdr:col>
      <xdr:colOff>233363</xdr:colOff>
      <xdr:row>50</xdr:row>
      <xdr:rowOff>95250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24</xdr:row>
      <xdr:rowOff>180975</xdr:rowOff>
    </xdr:from>
    <xdr:to>
      <xdr:col>29</xdr:col>
      <xdr:colOff>157163</xdr:colOff>
      <xdr:row>49</xdr:row>
      <xdr:rowOff>171450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27</xdr:row>
      <xdr:rowOff>76200</xdr:rowOff>
    </xdr:from>
    <xdr:to>
      <xdr:col>3</xdr:col>
      <xdr:colOff>647699</xdr:colOff>
      <xdr:row>53</xdr:row>
      <xdr:rowOff>190499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2076450</xdr:colOff>
      <xdr:row>24</xdr:row>
      <xdr:rowOff>28575</xdr:rowOff>
    </xdr:from>
    <xdr:to>
      <xdr:col>14</xdr:col>
      <xdr:colOff>361950</xdr:colOff>
      <xdr:row>50</xdr:row>
      <xdr:rowOff>76200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27</xdr:row>
      <xdr:rowOff>142875</xdr:rowOff>
    </xdr:from>
    <xdr:to>
      <xdr:col>7</xdr:col>
      <xdr:colOff>190500</xdr:colOff>
      <xdr:row>56</xdr:row>
      <xdr:rowOff>66675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24</xdr:row>
      <xdr:rowOff>0</xdr:rowOff>
    </xdr:from>
    <xdr:to>
      <xdr:col>28</xdr:col>
      <xdr:colOff>271463</xdr:colOff>
      <xdr:row>48</xdr:row>
      <xdr:rowOff>180975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25</xdr:row>
      <xdr:rowOff>38100</xdr:rowOff>
    </xdr:from>
    <xdr:to>
      <xdr:col>28</xdr:col>
      <xdr:colOff>261938</xdr:colOff>
      <xdr:row>50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66675</xdr:rowOff>
    </xdr:from>
    <xdr:to>
      <xdr:col>28</xdr:col>
      <xdr:colOff>147638</xdr:colOff>
      <xdr:row>48</xdr:row>
      <xdr:rowOff>57150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1924050</xdr:colOff>
      <xdr:row>23</xdr:row>
      <xdr:rowOff>47625</xdr:rowOff>
    </xdr:from>
    <xdr:to>
      <xdr:col>25</xdr:col>
      <xdr:colOff>404813</xdr:colOff>
      <xdr:row>48</xdr:row>
      <xdr:rowOff>38100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276225</xdr:colOff>
      <xdr:row>0</xdr:row>
      <xdr:rowOff>161925</xdr:rowOff>
    </xdr:from>
    <xdr:to>
      <xdr:col>18</xdr:col>
      <xdr:colOff>247650</xdr:colOff>
      <xdr:row>4</xdr:row>
      <xdr:rowOff>38100</xdr:rowOff>
    </xdr:to>
    <xdr:sp macro="" textlink="">
      <xdr:nvSpPr>
        <xdr:cNvPr id="3" name="Textfeld 2"/>
        <xdr:cNvSpPr txBox="1"/>
      </xdr:nvSpPr>
      <xdr:spPr>
        <a:xfrm>
          <a:off x="4476750" y="161925"/>
          <a:ext cx="5791200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16.11.2022: Es wurde gewünscht, die Daten ohne Nachkommastelle darzustellen.</a:t>
          </a:r>
        </a:p>
        <a:p>
          <a:r>
            <a:rPr lang="de-DE" sz="1100"/>
            <a:t>Könnte sein, dass dadurch der gleitende Mittelwert</a:t>
          </a:r>
          <a:r>
            <a:rPr lang="de-DE" sz="1100" baseline="0"/>
            <a:t> grafisch den Bach runtergeht.</a:t>
          </a:r>
        </a:p>
        <a:p>
          <a:r>
            <a:rPr lang="de-DE" sz="1100" baseline="0"/>
            <a:t>Ich habe nur die Rundung geändert und die damit gerundeten Daten übertragen.</a:t>
          </a:r>
        </a:p>
        <a:p>
          <a:r>
            <a:rPr lang="de-DE" sz="1100" baseline="0"/>
            <a:t>Wenn alles Tacko bleibt, können die Werte auch hier fest gerundet werden.</a:t>
          </a:r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28</xdr:row>
      <xdr:rowOff>133350</xdr:rowOff>
    </xdr:from>
    <xdr:to>
      <xdr:col>17</xdr:col>
      <xdr:colOff>261938</xdr:colOff>
      <xdr:row>53</xdr:row>
      <xdr:rowOff>123825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809624</xdr:colOff>
      <xdr:row>25</xdr:row>
      <xdr:rowOff>176212</xdr:rowOff>
    </xdr:from>
    <xdr:to>
      <xdr:col>9</xdr:col>
      <xdr:colOff>380999</xdr:colOff>
      <xdr:row>50</xdr:row>
      <xdr:rowOff>152400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24</xdr:row>
      <xdr:rowOff>104775</xdr:rowOff>
    </xdr:from>
    <xdr:to>
      <xdr:col>27</xdr:col>
      <xdr:colOff>233363</xdr:colOff>
      <xdr:row>49</xdr:row>
      <xdr:rowOff>95250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25</xdr:row>
      <xdr:rowOff>76200</xdr:rowOff>
    </xdr:from>
    <xdr:to>
      <xdr:col>24</xdr:col>
      <xdr:colOff>142875</xdr:colOff>
      <xdr:row>50</xdr:row>
      <xdr:rowOff>66675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24</xdr:row>
      <xdr:rowOff>47625</xdr:rowOff>
    </xdr:from>
    <xdr:to>
      <xdr:col>27</xdr:col>
      <xdr:colOff>261938</xdr:colOff>
      <xdr:row>49</xdr:row>
      <xdr:rowOff>38100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23</xdr:row>
      <xdr:rowOff>114300</xdr:rowOff>
    </xdr:from>
    <xdr:to>
      <xdr:col>10</xdr:col>
      <xdr:colOff>123825</xdr:colOff>
      <xdr:row>48</xdr:row>
      <xdr:rowOff>133350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23</xdr:row>
      <xdr:rowOff>66675</xdr:rowOff>
    </xdr:from>
    <xdr:to>
      <xdr:col>9</xdr:col>
      <xdr:colOff>523875</xdr:colOff>
      <xdr:row>48</xdr:row>
      <xdr:rowOff>85725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24</xdr:row>
      <xdr:rowOff>133350</xdr:rowOff>
    </xdr:from>
    <xdr:to>
      <xdr:col>24</xdr:col>
      <xdr:colOff>257175</xdr:colOff>
      <xdr:row>47</xdr:row>
      <xdr:rowOff>19050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22</xdr:row>
      <xdr:rowOff>47625</xdr:rowOff>
    </xdr:from>
    <xdr:to>
      <xdr:col>26</xdr:col>
      <xdr:colOff>90488</xdr:colOff>
      <xdr:row>47</xdr:row>
      <xdr:rowOff>38100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ExterneDaten_1" connectionId="8" autoFormatId="0" applyNumberFormats="0" applyBorderFormats="0" applyFontFormats="1" applyPatternFormats="1" applyAlignmentFormats="0" applyWidthHeightFormats="0">
  <queryTableRefresh preserveSortFilterLayout="0" nextId="25">
    <queryTableFields count="24">
      <queryTableField id="1" name="Column1" tableColumnId="25"/>
      <queryTableField id="2" name="1990" tableColumnId="26"/>
      <queryTableField id="3" name="1991-1994" tableColumnId="27"/>
      <queryTableField id="4" name="1995" tableColumnId="28"/>
      <queryTableField id="5" name="1996-1999" tableColumnId="29"/>
      <queryTableField id="6" name="2000" tableColumnId="30"/>
      <queryTableField id="7" name="2001-2004" tableColumnId="31"/>
      <queryTableField id="8" name="2005" tableColumnId="32"/>
      <queryTableField id="9" name="2006" tableColumnId="33"/>
      <queryTableField id="10" name="2007" tableColumnId="34"/>
      <queryTableField id="11" name="2008" tableColumnId="35"/>
      <queryTableField id="12" name="2009" tableColumnId="36"/>
      <queryTableField id="13" name="2010" tableColumnId="37"/>
      <queryTableField id="14" name="2011" tableColumnId="38"/>
      <queryTableField id="15" name="2012" tableColumnId="39"/>
      <queryTableField id="16" name="2013" tableColumnId="40"/>
      <queryTableField id="17" name="2014" tableColumnId="41"/>
      <queryTableField id="18" name="2015" tableColumnId="42"/>
      <queryTableField id="19" name="2016" tableColumnId="43"/>
      <queryTableField id="20" name="2017" tableColumnId="44"/>
      <queryTableField id="21" name="2018" tableColumnId="45"/>
      <queryTableField id="22" name="2019" tableColumnId="46"/>
      <queryTableField id="23" name="2020" tableColumnId="47"/>
      <queryTableField id="24" name="2021" tableColumnId="48"/>
    </queryTableFields>
  </queryTableRefresh>
</queryTable>
</file>

<file path=xl/queryTables/queryTable10.xml><?xml version="1.0" encoding="utf-8"?>
<queryTable xmlns="http://schemas.openxmlformats.org/spreadsheetml/2006/main" name="ExterneDaten_1" connectionId="2" autoFormatId="0" applyNumberFormats="0" applyBorderFormats="0" applyFontFormats="1" applyPatternFormats="1" applyAlignmentFormats="0" applyWidthHeightFormats="0">
  <queryTableRefresh preserveSortFilterLayout="0" nextId="28">
    <queryTableFields count="27">
      <queryTableField id="1" name="Column1" tableColumnId="28"/>
      <queryTableField id="2" name="1995" tableColumnId="29"/>
      <queryTableField id="3" name="1996" tableColumnId="30"/>
      <queryTableField id="4" name="1997" tableColumnId="31"/>
      <queryTableField id="5" name="1998" tableColumnId="32"/>
      <queryTableField id="6" name="1999" tableColumnId="33"/>
      <queryTableField id="7" name="2000" tableColumnId="34"/>
      <queryTableField id="8" name="2001" tableColumnId="35"/>
      <queryTableField id="9" name="2002" tableColumnId="36"/>
      <queryTableField id="10" name="2003" tableColumnId="37"/>
      <queryTableField id="11" name="2004" tableColumnId="38"/>
      <queryTableField id="12" name="2005" tableColumnId="39"/>
      <queryTableField id="13" name="2006" tableColumnId="40"/>
      <queryTableField id="14" name="2007" tableColumnId="41"/>
      <queryTableField id="15" name="2008" tableColumnId="42"/>
      <queryTableField id="16" name="2009" tableColumnId="43"/>
      <queryTableField id="17" name="2010" tableColumnId="44"/>
      <queryTableField id="18" name="2011" tableColumnId="45"/>
      <queryTableField id="19" name="2012" tableColumnId="46"/>
      <queryTableField id="20" name="2013" tableColumnId="47"/>
      <queryTableField id="21" name="2014" tableColumnId="48"/>
      <queryTableField id="22" name="2015" tableColumnId="49"/>
      <queryTableField id="23" name="2016" tableColumnId="50"/>
      <queryTableField id="24" name="2017" tableColumnId="51"/>
      <queryTableField id="25" name="2018" tableColumnId="52"/>
      <queryTableField id="26" name="2019" tableColumnId="53"/>
      <queryTableField id="27" name="2020" tableColumnId="54"/>
    </queryTableFields>
  </queryTableRefresh>
</queryTable>
</file>

<file path=xl/queryTables/queryTable11.xml><?xml version="1.0" encoding="utf-8"?>
<queryTable xmlns="http://schemas.openxmlformats.org/spreadsheetml/2006/main" name="ExterneDaten_1" connectionId="3" autoFormatId="0" applyNumberFormats="0" applyBorderFormats="0" applyFontFormats="1" applyPatternFormats="1" applyAlignmentFormats="0" applyWidthHeightFormats="0">
  <queryTableRefresh preserveSortFilterLayout="0" nextId="28">
    <queryTableFields count="27">
      <queryTableField id="1" name="Column1" tableColumnId="28"/>
      <queryTableField id="2" name="1996" tableColumnId="29"/>
      <queryTableField id="3" name="1997" tableColumnId="30"/>
      <queryTableField id="4" name="1998" tableColumnId="31"/>
      <queryTableField id="5" name="1999" tableColumnId="32"/>
      <queryTableField id="6" name="2000" tableColumnId="33"/>
      <queryTableField id="7" name="2001" tableColumnId="34"/>
      <queryTableField id="8" name="2002" tableColumnId="35"/>
      <queryTableField id="9" name="2003" tableColumnId="36"/>
      <queryTableField id="10" name="2004" tableColumnId="37"/>
      <queryTableField id="11" name="2005" tableColumnId="38"/>
      <queryTableField id="12" name="2006" tableColumnId="39"/>
      <queryTableField id="13" name="2007" tableColumnId="40"/>
      <queryTableField id="14" name="2008" tableColumnId="41"/>
      <queryTableField id="15" name="2009" tableColumnId="42"/>
      <queryTableField id="16" name="2010" tableColumnId="43"/>
      <queryTableField id="17" name="2011" tableColumnId="44"/>
      <queryTableField id="18" name="2012" tableColumnId="45"/>
      <queryTableField id="19" name="2013" tableColumnId="46"/>
      <queryTableField id="20" name="2014" tableColumnId="47"/>
      <queryTableField id="21" name="2015" tableColumnId="48"/>
      <queryTableField id="22" name="2016 *)" tableColumnId="49"/>
      <queryTableField id="23" name="2017 *)" tableColumnId="50"/>
      <queryTableField id="24" name="2018" tableColumnId="51"/>
      <queryTableField id="25" name="2019" tableColumnId="52"/>
      <queryTableField id="26" name="2020" tableColumnId="53"/>
      <queryTableField id="27" name="2021" tableColumnId="54"/>
    </queryTableFields>
  </queryTableRefresh>
</queryTable>
</file>

<file path=xl/queryTables/queryTable12.xml><?xml version="1.0" encoding="utf-8"?>
<queryTable xmlns="http://schemas.openxmlformats.org/spreadsheetml/2006/main" name="ExterneDaten_1" connectionId="4" autoFormatId="0" applyNumberFormats="0" applyBorderFormats="0" applyFontFormats="1" applyPatternFormats="1" applyAlignmentFormats="0" applyWidthHeightFormats="0">
  <queryTableRefresh preserveSortFilterLayout="0" nextId="28">
    <queryTableFields count="27">
      <queryTableField id="1" name="Column1" tableColumnId="28"/>
      <queryTableField id="2" name="1996" tableColumnId="29"/>
      <queryTableField id="3" name="1997" tableColumnId="30"/>
      <queryTableField id="4" name="1998" tableColumnId="31"/>
      <queryTableField id="5" name="1999" tableColumnId="32"/>
      <queryTableField id="6" name="2000" tableColumnId="33"/>
      <queryTableField id="7" name="2001" tableColumnId="34"/>
      <queryTableField id="8" name="2002" tableColumnId="35"/>
      <queryTableField id="9" name="2003" tableColumnId="36"/>
      <queryTableField id="10" name="2004" tableColumnId="37"/>
      <queryTableField id="11" name="2005" tableColumnId="38"/>
      <queryTableField id="12" name="2006" tableColumnId="39"/>
      <queryTableField id="13" name="2007" tableColumnId="40"/>
      <queryTableField id="14" name="2008" tableColumnId="41"/>
      <queryTableField id="15" name="2009" tableColumnId="42"/>
      <queryTableField id="16" name="2010" tableColumnId="43"/>
      <queryTableField id="17" name="2011" tableColumnId="44"/>
      <queryTableField id="18" name="2012" tableColumnId="45"/>
      <queryTableField id="19" name="2013" tableColumnId="46"/>
      <queryTableField id="20" name="2014" tableColumnId="47"/>
      <queryTableField id="21" name="2015" tableColumnId="48"/>
      <queryTableField id="22" name="2016" tableColumnId="49"/>
      <queryTableField id="23" name="2017" tableColumnId="50"/>
      <queryTableField id="24" name="2018" tableColumnId="51"/>
      <queryTableField id="25" name="2019" tableColumnId="52"/>
      <queryTableField id="26" name="2020" tableColumnId="53"/>
      <queryTableField id="27" name="2021" tableColumnId="54"/>
    </queryTableFields>
  </queryTableRefresh>
</queryTable>
</file>

<file path=xl/queryTables/queryTable13.xml><?xml version="1.0" encoding="utf-8"?>
<queryTable xmlns="http://schemas.openxmlformats.org/spreadsheetml/2006/main" name="ExterneDaten_1" connectionId="5" autoFormatId="0" applyNumberFormats="0" applyBorderFormats="0" applyFontFormats="1" applyPatternFormats="1" applyAlignmentFormats="0" applyWidthHeightFormats="0">
  <queryTableRefresh preserveSortFilterLayout="0" nextId="39">
    <queryTableFields count="38">
      <queryTableField id="1" name="Column1" tableColumnId="39"/>
      <queryTableField id="2" name="1986" tableColumnId="40"/>
      <queryTableField id="3" name="1987" tableColumnId="41"/>
      <queryTableField id="4" name="1988" tableColumnId="42"/>
      <queryTableField id="5" name="1989" tableColumnId="43"/>
      <queryTableField id="6" name="1990" tableColumnId="44"/>
      <queryTableField id="7" name="1991" tableColumnId="45"/>
      <queryTableField id="8" name="1992" tableColumnId="46"/>
      <queryTableField id="9" name="1993" tableColumnId="47"/>
      <queryTableField id="10" name="1994" tableColumnId="48"/>
      <queryTableField id="11" name="1995" tableColumnId="49"/>
      <queryTableField id="12" name="1996" tableColumnId="50"/>
      <queryTableField id="13" name="1997" tableColumnId="51"/>
      <queryTableField id="14" name="1998" tableColumnId="52"/>
      <queryTableField id="15" name="1999" tableColumnId="53"/>
      <queryTableField id="16" name="2000" tableColumnId="54"/>
      <queryTableField id="17" name="2001" tableColumnId="55"/>
      <queryTableField id="18" name="2002" tableColumnId="56"/>
      <queryTableField id="19" name="2003" tableColumnId="57"/>
      <queryTableField id="20" name="2004" tableColumnId="58"/>
      <queryTableField id="21" name="2005" tableColumnId="59"/>
      <queryTableField id="22" name="2006" tableColumnId="60"/>
      <queryTableField id="23" name="2007" tableColumnId="61"/>
      <queryTableField id="24" name="2008" tableColumnId="62"/>
      <queryTableField id="25" name="2009" tableColumnId="63"/>
      <queryTableField id="26" name="2010" tableColumnId="64"/>
      <queryTableField id="27" name="2011" tableColumnId="65"/>
      <queryTableField id="28" name="2012" tableColumnId="66"/>
      <queryTableField id="29" name="2013" tableColumnId="67"/>
      <queryTableField id="30" name="2014" tableColumnId="68"/>
      <queryTableField id="31" name="2015" tableColumnId="69"/>
      <queryTableField id="32" name="2016" tableColumnId="70"/>
      <queryTableField id="33" name="2017" tableColumnId="71"/>
      <queryTableField id="34" name="2018" tableColumnId="72"/>
      <queryTableField id="35" name="2019" tableColumnId="73"/>
      <queryTableField id="36" name="2020" tableColumnId="74"/>
      <queryTableField id="37" name="2021" tableColumnId="75"/>
      <queryTableField id="38" name="2022" tableColumnId="76"/>
    </queryTableFields>
  </queryTableRefresh>
</queryTable>
</file>

<file path=xl/queryTables/queryTable14.xml><?xml version="1.0" encoding="utf-8"?>
<queryTable xmlns="http://schemas.openxmlformats.org/spreadsheetml/2006/main" name="ExterneDaten_1" connectionId="6" autoFormatId="0" applyNumberFormats="0" applyBorderFormats="0" applyFontFormats="1" applyPatternFormats="1" applyAlignmentFormats="0" applyWidthHeightFormats="0">
  <queryTableRefresh preserveSortFilterLayout="0" nextId="4">
    <queryTableFields count="3">
      <queryTableField id="1" name="Column1" tableColumnId="4"/>
      <queryTableField id="2" name="2012-2014" tableColumnId="5"/>
      <queryTableField id="3" name="2015-2018" tableColumnId="6"/>
    </queryTableFields>
  </queryTableRefresh>
</queryTable>
</file>

<file path=xl/queryTables/queryTable15.xml><?xml version="1.0" encoding="utf-8"?>
<queryTable xmlns="http://schemas.openxmlformats.org/spreadsheetml/2006/main" name="ExterneDaten_1" connectionId="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Column1" tableColumnId="16"/>
      <queryTableField id="2" name="2008" tableColumnId="17"/>
      <queryTableField id="3" name="2009" tableColumnId="18"/>
      <queryTableField id="4" name="2010" tableColumnId="19"/>
      <queryTableField id="5" name="2011" tableColumnId="20"/>
      <queryTableField id="6" name="2012" tableColumnId="21"/>
      <queryTableField id="7" name="2013" tableColumnId="22"/>
      <queryTableField id="8" name="2014" tableColumnId="23"/>
      <queryTableField id="9" name="2015" tableColumnId="24"/>
      <queryTableField id="10" name="2016" tableColumnId="25"/>
      <queryTableField id="11" name="2017" tableColumnId="26"/>
      <queryTableField id="12" name="2018" tableColumnId="27"/>
      <queryTableField id="13" name="2019" tableColumnId="28"/>
      <queryTableField id="14" name="2020" tableColumnId="29"/>
      <queryTableField id="15" name="2021" tableColumnId="30"/>
    </queryTableFields>
  </queryTableRefresh>
</queryTable>
</file>

<file path=xl/queryTables/queryTable16.xml><?xml version="1.0" encoding="utf-8"?>
<queryTable xmlns="http://schemas.openxmlformats.org/spreadsheetml/2006/main" name="ExterneDaten_1" connectionId="9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Column1" tableColumnId="9"/>
      <queryTableField id="2" name="Ausgestorben oder verschollen" tableColumnId="10"/>
      <queryTableField id="3" name="Durch extreme Seltenheit gefährdet" tableColumnId="11"/>
      <queryTableField id="4" name="Gefährdungausmaß unbekannt" tableColumnId="12"/>
      <queryTableField id="5" name="Vom Aussterben bedroht" tableColumnId="13"/>
      <queryTableField id="6" name="Stark gefährdet" tableColumnId="14"/>
      <queryTableField id="7" name="Gefährdet" tableColumnId="15"/>
      <queryTableField id="8" name="Nicht in der Roten Liste" tableColumnId="16"/>
    </queryTableFields>
  </queryTableRefresh>
</queryTable>
</file>

<file path=xl/queryTables/queryTable17.xml><?xml version="1.0" encoding="utf-8"?>
<queryTable xmlns="http://schemas.openxmlformats.org/spreadsheetml/2006/main" name="ExterneDaten_1" connectionId="10" autoFormatId="0" applyNumberFormats="0" applyBorderFormats="0" applyFontFormats="1" applyPatternFormats="1" applyAlignmentFormats="0" applyWidthHeightFormats="0">
  <queryTableRefresh preserveSortFilterLayout="0" nextId="105">
    <queryTableFields count="104">
      <queryTableField id="1" name="Column1" tableColumnId="105"/>
      <queryTableField id="2" name="1920" tableColumnId="106"/>
      <queryTableField id="3" name="1921" tableColumnId="107"/>
      <queryTableField id="4" name="1922" tableColumnId="108"/>
      <queryTableField id="5" name="1923" tableColumnId="109"/>
      <queryTableField id="6" name="1924" tableColumnId="110"/>
      <queryTableField id="7" name="1925" tableColumnId="111"/>
      <queryTableField id="8" name="1926" tableColumnId="112"/>
      <queryTableField id="9" name="1927" tableColumnId="113"/>
      <queryTableField id="10" name="1928" tableColumnId="114"/>
      <queryTableField id="11" name="1929" tableColumnId="115"/>
      <queryTableField id="12" name="1930" tableColumnId="116"/>
      <queryTableField id="13" name="1931" tableColumnId="117"/>
      <queryTableField id="14" name="1932" tableColumnId="118"/>
      <queryTableField id="15" name="1933" tableColumnId="119"/>
      <queryTableField id="16" name="1934" tableColumnId="120"/>
      <queryTableField id="17" name="1935" tableColumnId="121"/>
      <queryTableField id="18" name="1936" tableColumnId="122"/>
      <queryTableField id="19" name="1937" tableColumnId="123"/>
      <queryTableField id="20" name="1938" tableColumnId="124"/>
      <queryTableField id="21" name="1939" tableColumnId="125"/>
      <queryTableField id="22" name="1940" tableColumnId="126"/>
      <queryTableField id="23" name="1941" tableColumnId="127"/>
      <queryTableField id="24" name="1942" tableColumnId="128"/>
      <queryTableField id="25" name="1943" tableColumnId="129"/>
      <queryTableField id="26" name="1944" tableColumnId="130"/>
      <queryTableField id="27" name="1945" tableColumnId="131"/>
      <queryTableField id="28" name="1946" tableColumnId="132"/>
      <queryTableField id="29" name="1947" tableColumnId="133"/>
      <queryTableField id="30" name="1948" tableColumnId="134"/>
      <queryTableField id="31" name="1949" tableColumnId="135"/>
      <queryTableField id="32" name="1950" tableColumnId="136"/>
      <queryTableField id="33" name="1951" tableColumnId="137"/>
      <queryTableField id="34" name="1952" tableColumnId="138"/>
      <queryTableField id="35" name="1953" tableColumnId="139"/>
      <queryTableField id="36" name="1954" tableColumnId="140"/>
      <queryTableField id="37" name="1955" tableColumnId="141"/>
      <queryTableField id="38" name="1956" tableColumnId="142"/>
      <queryTableField id="39" name="1957" tableColumnId="143"/>
      <queryTableField id="40" name="1958" tableColumnId="144"/>
      <queryTableField id="41" name="1959" tableColumnId="145"/>
      <queryTableField id="42" name="1960" tableColumnId="146"/>
      <queryTableField id="43" name="1961" tableColumnId="147"/>
      <queryTableField id="44" name="1962" tableColumnId="148"/>
      <queryTableField id="45" name="1963" tableColumnId="149"/>
      <queryTableField id="46" name="1964" tableColumnId="150"/>
      <queryTableField id="47" name="1965" tableColumnId="151"/>
      <queryTableField id="48" name="1966" tableColumnId="152"/>
      <queryTableField id="49" name="1967" tableColumnId="153"/>
      <queryTableField id="50" name="1968" tableColumnId="154"/>
      <queryTableField id="51" name="1969" tableColumnId="155"/>
      <queryTableField id="52" name="1970" tableColumnId="156"/>
      <queryTableField id="53" name="1971" tableColumnId="157"/>
      <queryTableField id="54" name="1972" tableColumnId="158"/>
      <queryTableField id="55" name="1973" tableColumnId="159"/>
      <queryTableField id="56" name="1974" tableColumnId="160"/>
      <queryTableField id="57" name="1975" tableColumnId="161"/>
      <queryTableField id="58" name="1976" tableColumnId="162"/>
      <queryTableField id="59" name="1977" tableColumnId="163"/>
      <queryTableField id="60" name="1978" tableColumnId="164"/>
      <queryTableField id="61" name="1979" tableColumnId="165"/>
      <queryTableField id="62" name="1980" tableColumnId="166"/>
      <queryTableField id="63" name="1981" tableColumnId="167"/>
      <queryTableField id="64" name="1982" tableColumnId="168"/>
      <queryTableField id="65" name="1983" tableColumnId="169"/>
      <queryTableField id="66" name="1984" tableColumnId="170"/>
      <queryTableField id="67" name="1985" tableColumnId="171"/>
      <queryTableField id="68" name="1986" tableColumnId="172"/>
      <queryTableField id="69" name="1987" tableColumnId="173"/>
      <queryTableField id="70" name="1988" tableColumnId="174"/>
      <queryTableField id="71" name="1989" tableColumnId="175"/>
      <queryTableField id="72" name="1990" tableColumnId="176"/>
      <queryTableField id="73" name="1991" tableColumnId="177"/>
      <queryTableField id="74" name="1992" tableColumnId="178"/>
      <queryTableField id="75" name="1993" tableColumnId="179"/>
      <queryTableField id="76" name="1994" tableColumnId="180"/>
      <queryTableField id="77" name="1995" tableColumnId="181"/>
      <queryTableField id="78" name="1996" tableColumnId="182"/>
      <queryTableField id="79" name="1997" tableColumnId="183"/>
      <queryTableField id="80" name="1998" tableColumnId="184"/>
      <queryTableField id="81" name="1999" tableColumnId="185"/>
      <queryTableField id="82" name="2000" tableColumnId="186"/>
      <queryTableField id="83" name="2001" tableColumnId="187"/>
      <queryTableField id="84" name="2002" tableColumnId="188"/>
      <queryTableField id="85" name="2003" tableColumnId="189"/>
      <queryTableField id="86" name="2004" tableColumnId="190"/>
      <queryTableField id="87" name="2005" tableColumnId="191"/>
      <queryTableField id="88" name="2006" tableColumnId="192"/>
      <queryTableField id="89" name="2007" tableColumnId="193"/>
      <queryTableField id="90" name="2008" tableColumnId="194"/>
      <queryTableField id="91" name="2009" tableColumnId="195"/>
      <queryTableField id="92" name="2010" tableColumnId="196"/>
      <queryTableField id="93" name="2011" tableColumnId="197"/>
      <queryTableField id="94" name="2012" tableColumnId="198"/>
      <queryTableField id="95" name="2013" tableColumnId="199"/>
      <queryTableField id="96" name="2014" tableColumnId="200"/>
      <queryTableField id="97" name="2015" tableColumnId="201"/>
      <queryTableField id="98" name="2016" tableColumnId="202"/>
      <queryTableField id="99" name="2017" tableColumnId="203"/>
      <queryTableField id="100" name="2018" tableColumnId="204"/>
      <queryTableField id="101" name="2019" tableColumnId="205"/>
      <queryTableField id="102" name="2020" tableColumnId="206"/>
      <queryTableField id="103" name="2021" tableColumnId="207"/>
      <queryTableField id="104" name="2022" tableColumnId="208"/>
    </queryTableFields>
  </queryTableRefresh>
</queryTable>
</file>

<file path=xl/queryTables/queryTable18.xml><?xml version="1.0" encoding="utf-8"?>
<queryTable xmlns="http://schemas.openxmlformats.org/spreadsheetml/2006/main" name="ExterneDaten_1" connectionId="11" autoFormatId="0" applyNumberFormats="0" applyBorderFormats="0" applyFontFormats="1" applyPatternFormats="1" applyAlignmentFormats="0" applyWidthHeightFormats="0">
  <queryTableRefresh preserveSortFilterLayout="0" nextId="40">
    <queryTableFields count="39">
      <queryTableField id="1" name="Column1" tableColumnId="40"/>
      <queryTableField id="2" name="1983" tableColumnId="41"/>
      <queryTableField id="3" name="1984" tableColumnId="42"/>
      <queryTableField id="4" name="1985" tableColumnId="43"/>
      <queryTableField id="5" name="1986" tableColumnId="44"/>
      <queryTableField id="6" name="1987" tableColumnId="45"/>
      <queryTableField id="7" name="1988" tableColumnId="46"/>
      <queryTableField id="8" name="1989" tableColumnId="47"/>
      <queryTableField id="9" name="1990" tableColumnId="48"/>
      <queryTableField id="10" name="1991" tableColumnId="49"/>
      <queryTableField id="11" name="1992" tableColumnId="50"/>
      <queryTableField id="12" name="1993" tableColumnId="51"/>
      <queryTableField id="13" name="1994" tableColumnId="52"/>
      <queryTableField id="14" name="1995" tableColumnId="53"/>
      <queryTableField id="15" name="1996" tableColumnId="54"/>
      <queryTableField id="16" name="1997" tableColumnId="55"/>
      <queryTableField id="17" name="1998" tableColumnId="56"/>
      <queryTableField id="18" name="1999" tableColumnId="57"/>
      <queryTableField id="19" name="2000" tableColumnId="58"/>
      <queryTableField id="20" name="2001" tableColumnId="59"/>
      <queryTableField id="21" name="2002" tableColumnId="60"/>
      <queryTableField id="22" name="2003" tableColumnId="61"/>
      <queryTableField id="23" name="2004" tableColumnId="62"/>
      <queryTableField id="24" name="2005" tableColumnId="63"/>
      <queryTableField id="25" name="2006" tableColumnId="64"/>
      <queryTableField id="26" name="2007" tableColumnId="65"/>
      <queryTableField id="27" name="2008" tableColumnId="66"/>
      <queryTableField id="28" name="2009" tableColumnId="67"/>
      <queryTableField id="29" name="2010" tableColumnId="68"/>
      <queryTableField id="30" name="2011" tableColumnId="69"/>
      <queryTableField id="31" name="2012" tableColumnId="70"/>
      <queryTableField id="32" name="2013" tableColumnId="71"/>
      <queryTableField id="33" name="2014" tableColumnId="72"/>
      <queryTableField id="34" name="2015" tableColumnId="73"/>
      <queryTableField id="35" name="2016" tableColumnId="74"/>
      <queryTableField id="36" name="2017" tableColumnId="75"/>
      <queryTableField id="37" name="2018" tableColumnId="76"/>
      <queryTableField id="38" name="2019" tableColumnId="77"/>
      <queryTableField id="39" name="2020" tableColumnId="78"/>
    </queryTableFields>
  </queryTableRefresh>
</queryTable>
</file>

<file path=xl/queryTables/queryTable19.xml><?xml version="1.0" encoding="utf-8"?>
<queryTable xmlns="http://schemas.openxmlformats.org/spreadsheetml/2006/main" name="ExterneDaten_1" connectionId="12" autoFormatId="0" applyNumberFormats="0" applyBorderFormats="0" applyFontFormats="1" applyPatternFormats="1" applyAlignmentFormats="0" applyWidthHeightFormats="0">
  <queryTableRefresh preserveSortFilterLayout="0" nextId="40">
    <queryTableFields count="39">
      <queryTableField id="1" name="Column1" tableColumnId="40"/>
      <queryTableField id="2" name="1983" tableColumnId="41"/>
      <queryTableField id="3" name="1984" tableColumnId="42"/>
      <queryTableField id="4" name="1985" tableColumnId="43"/>
      <queryTableField id="5" name="1986" tableColumnId="44"/>
      <queryTableField id="6" name="1987" tableColumnId="45"/>
      <queryTableField id="7" name="1988" tableColumnId="46"/>
      <queryTableField id="8" name="1989" tableColumnId="47"/>
      <queryTableField id="9" name="1990" tableColumnId="48"/>
      <queryTableField id="10" name="1991" tableColumnId="49"/>
      <queryTableField id="11" name="1992" tableColumnId="50"/>
      <queryTableField id="12" name="1993" tableColumnId="51"/>
      <queryTableField id="13" name="1994" tableColumnId="52"/>
      <queryTableField id="14" name="1995" tableColumnId="53"/>
      <queryTableField id="15" name="1996" tableColumnId="54"/>
      <queryTableField id="16" name="1997" tableColumnId="55"/>
      <queryTableField id="17" name="1998" tableColumnId="56"/>
      <queryTableField id="18" name="1999" tableColumnId="57"/>
      <queryTableField id="19" name="2000" tableColumnId="58"/>
      <queryTableField id="20" name="2001" tableColumnId="59"/>
      <queryTableField id="21" name="2002" tableColumnId="60"/>
      <queryTableField id="22" name="2003" tableColumnId="61"/>
      <queryTableField id="23" name="2004" tableColumnId="62"/>
      <queryTableField id="24" name="2005" tableColumnId="63"/>
      <queryTableField id="25" name="2006" tableColumnId="64"/>
      <queryTableField id="26" name="2007" tableColumnId="65"/>
      <queryTableField id="27" name="2008" tableColumnId="66"/>
      <queryTableField id="28" name="2009" tableColumnId="67"/>
      <queryTableField id="29" name="2010" tableColumnId="68"/>
      <queryTableField id="30" name="2011" tableColumnId="69"/>
      <queryTableField id="31" name="2012" tableColumnId="70"/>
      <queryTableField id="32" name="2013" tableColumnId="71"/>
      <queryTableField id="33" name="2014" tableColumnId="72"/>
      <queryTableField id="34" name="2015" tableColumnId="73"/>
      <queryTableField id="35" name="2016" tableColumnId="74"/>
      <queryTableField id="36" name="2017" tableColumnId="75"/>
      <queryTableField id="37" name="2018" tableColumnId="76"/>
      <queryTableField id="38" name="2019" tableColumnId="77"/>
      <queryTableField id="39" name="2020" tableColumnId="78"/>
    </queryTableFields>
  </queryTableRefresh>
</queryTable>
</file>

<file path=xl/queryTables/queryTable2.xml><?xml version="1.0" encoding="utf-8"?>
<queryTable xmlns="http://schemas.openxmlformats.org/spreadsheetml/2006/main" name="ExterneDaten_1" connectionId="15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Column1" tableColumnId="9"/>
      <queryTableField id="2" name="1996" tableColumnId="10"/>
      <queryTableField id="3" name="2000" tableColumnId="11"/>
      <queryTableField id="4" name="2004" tableColumnId="12"/>
      <queryTableField id="5" name="2008" tableColumnId="13"/>
      <queryTableField id="6" name="2012" tableColumnId="14"/>
      <queryTableField id="7" name="2016" tableColumnId="15"/>
      <queryTableField id="8" name="2020" tableColumnId="16"/>
    </queryTableFields>
  </queryTableRefresh>
</queryTable>
</file>

<file path=xl/queryTables/queryTable20.xml><?xml version="1.0" encoding="utf-8"?>
<queryTable xmlns="http://schemas.openxmlformats.org/spreadsheetml/2006/main" name="ExterneDaten_1" connectionId="13" autoFormatId="0" applyNumberFormats="0" applyBorderFormats="0" applyFontFormats="1" applyPatternFormats="1" applyAlignmentFormats="0" applyWidthHeightFormats="0">
  <queryTableRefresh preserveSortFilterLayout="0" nextId="29">
    <queryTableFields count="28">
      <queryTableField id="1" name="Column1" tableColumnId="29"/>
      <queryTableField id="2" name="1995" tableColumnId="30"/>
      <queryTableField id="3" name="1996" tableColumnId="31"/>
      <queryTableField id="4" name="1997" tableColumnId="32"/>
      <queryTableField id="5" name="1998" tableColumnId="33"/>
      <queryTableField id="6" name="1999" tableColumnId="34"/>
      <queryTableField id="7" name="2000" tableColumnId="35"/>
      <queryTableField id="8" name="2001" tableColumnId="36"/>
      <queryTableField id="9" name="2002" tableColumnId="37"/>
      <queryTableField id="10" name="2003" tableColumnId="38"/>
      <queryTableField id="11" name="2004" tableColumnId="39"/>
      <queryTableField id="12" name="2005" tableColumnId="40"/>
      <queryTableField id="13" name="2006" tableColumnId="41"/>
      <queryTableField id="14" name="2007" tableColumnId="42"/>
      <queryTableField id="15" name="2008" tableColumnId="43"/>
      <queryTableField id="16" name="2009" tableColumnId="44"/>
      <queryTableField id="17" name="2010" tableColumnId="45"/>
      <queryTableField id="18" name="2011" tableColumnId="46"/>
      <queryTableField id="19" name="2012" tableColumnId="47"/>
      <queryTableField id="20" name="2013" tableColumnId="48"/>
      <queryTableField id="21" name="2014" tableColumnId="49"/>
      <queryTableField id="22" name="2015" tableColumnId="50"/>
      <queryTableField id="23" name="2016" tableColumnId="51"/>
      <queryTableField id="24" name="2017" tableColumnId="52"/>
      <queryTableField id="25" name="2018" tableColumnId="53"/>
      <queryTableField id="26" name="2019" tableColumnId="54"/>
      <queryTableField id="27" name="2020" tableColumnId="55"/>
      <queryTableField id="28" name="2021" tableColumnId="56"/>
    </queryTableFields>
  </queryTableRefresh>
</queryTable>
</file>

<file path=xl/queryTables/queryTable21.xml><?xml version="1.0" encoding="utf-8"?>
<queryTable xmlns="http://schemas.openxmlformats.org/spreadsheetml/2006/main" name="ExterneDaten_1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Column1" tableColumnId="29"/>
      <queryTableField id="2" name="2009" tableColumnId="30"/>
      <queryTableField id="3" name="2010" tableColumnId="31"/>
      <queryTableField id="4" name="2011" tableColumnId="32"/>
      <queryTableField id="5" name="2012" tableColumnId="33"/>
      <queryTableField id="6" name="2013" tableColumnId="34"/>
      <queryTableField id="7" name="2014" tableColumnId="35"/>
      <queryTableField id="8" name="2015" tableColumnId="36"/>
      <queryTableField id="9" name="2016" tableColumnId="37"/>
      <queryTableField id="10" name="2017" tableColumnId="38"/>
      <queryTableField id="11" name="2018" tableColumnId="39"/>
      <queryTableField id="12" name="2019" tableColumnId="40"/>
      <queryTableField id="13" name="2020" tableColumnId="41"/>
      <queryTableField id="14" name="2021" tableColumnId="42"/>
    </queryTableFields>
  </queryTableRefresh>
</queryTable>
</file>

<file path=xl/queryTables/queryTable3.xml><?xml version="1.0" encoding="utf-8"?>
<queryTable xmlns="http://schemas.openxmlformats.org/spreadsheetml/2006/main" name="ExterneDaten_1" connectionId="16" autoFormatId="0" applyNumberFormats="0" applyBorderFormats="0" applyFontFormats="1" applyPatternFormats="1" applyAlignmentFormats="0" applyWidthHeightFormats="0">
  <queryTableRefresh preserveSortFilterLayout="0" nextId="35">
    <queryTableFields count="34">
      <queryTableField id="1" name="Column1" tableColumnId="35"/>
      <queryTableField id="2" name="1990" tableColumnId="36"/>
      <queryTableField id="3" name="1991" tableColumnId="37"/>
      <queryTableField id="4" name="1992" tableColumnId="38"/>
      <queryTableField id="5" name="1993" tableColumnId="39"/>
      <queryTableField id="6" name="1994" tableColumnId="40"/>
      <queryTableField id="7" name="1995" tableColumnId="41"/>
      <queryTableField id="8" name="1996" tableColumnId="42"/>
      <queryTableField id="9" name="1997" tableColumnId="43"/>
      <queryTableField id="10" name="1998" tableColumnId="44"/>
      <queryTableField id="11" name="1999" tableColumnId="45"/>
      <queryTableField id="12" name="2000" tableColumnId="46"/>
      <queryTableField id="13" name="2001" tableColumnId="47"/>
      <queryTableField id="14" name="2002" tableColumnId="48"/>
      <queryTableField id="15" name="2003" tableColumnId="49"/>
      <queryTableField id="16" name="2004" tableColumnId="50"/>
      <queryTableField id="17" name="2005" tableColumnId="51"/>
      <queryTableField id="18" name="2006" tableColumnId="52"/>
      <queryTableField id="19" name="2007" tableColumnId="53"/>
      <queryTableField id="20" name="2008" tableColumnId="54"/>
      <queryTableField id="21" name="2009" tableColumnId="55"/>
      <queryTableField id="22" name="2010" tableColumnId="56"/>
      <queryTableField id="23" name="2011" tableColumnId="57"/>
      <queryTableField id="24" name="2012" tableColumnId="58"/>
      <queryTableField id="25" name="2013" tableColumnId="59"/>
      <queryTableField id="26" name="2014" tableColumnId="60"/>
      <queryTableField id="27" name="2015" tableColumnId="61"/>
      <queryTableField id="28" name="2016" tableColumnId="62"/>
      <queryTableField id="29" name="2017" tableColumnId="63"/>
      <queryTableField id="30" name="2018" tableColumnId="64"/>
      <queryTableField id="31" name="2019" tableColumnId="65"/>
      <queryTableField id="32" name="2020" tableColumnId="66"/>
      <queryTableField id="33" name="2021" tableColumnId="67"/>
      <queryTableField id="34" name="2022" tableColumnId="68"/>
    </queryTableFields>
  </queryTableRefresh>
</queryTable>
</file>

<file path=xl/queryTables/queryTable4.xml><?xml version="1.0" encoding="utf-8"?>
<queryTable xmlns="http://schemas.openxmlformats.org/spreadsheetml/2006/main" name="ExterneDaten_1" connectionId="21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Column1" tableColumnId="10"/>
      <queryTableField id="2" name="Industrie   PM2.5" tableColumnId="11"/>
      <queryTableField id="3" name=" Kleinfeuerungsanlagen   PM2.5" tableColumnId="12"/>
      <queryTableField id="4" name=" Verkehr   PM2.5" tableColumnId="13"/>
      <queryTableField id="5" name=" Landwirtschaft   PM2.5" tableColumnId="14"/>
      <queryTableField id="6" name=" Industrie   PM10" tableColumnId="15"/>
      <queryTableField id="7" name=" Kleinfeuerungsanlagen   PM10" tableColumnId="16"/>
      <queryTableField id="8" name=" Verkehr   PM10" tableColumnId="17"/>
      <queryTableField id="9" name=" Landwirtschaft   PM10" tableColumnId="18"/>
    </queryTableFields>
  </queryTableRefresh>
</queryTable>
</file>

<file path=xl/queryTables/queryTable5.xml><?xml version="1.0" encoding="utf-8"?>
<queryTable xmlns="http://schemas.openxmlformats.org/spreadsheetml/2006/main" name="ExterneDaten_1" connectionId="17" autoFormatId="0" applyNumberFormats="0" applyBorderFormats="0" applyFontFormats="1" applyPatternFormats="1" applyAlignmentFormats="0" applyWidthHeightFormats="0">
  <queryTableRefresh preserveSortFilterLayout="0" nextId="24">
    <queryTableFields count="23">
      <queryTableField id="1" name="Column1" tableColumnId="24"/>
      <queryTableField id="2" name="2001" tableColumnId="25"/>
      <queryTableField id="3" name="2002" tableColumnId="26"/>
      <queryTableField id="4" name="2003" tableColumnId="27"/>
      <queryTableField id="5" name="2004" tableColumnId="28"/>
      <queryTableField id="6" name="2005" tableColumnId="29"/>
      <queryTableField id="7" name="2006" tableColumnId="30"/>
      <queryTableField id="8" name="2007" tableColumnId="31"/>
      <queryTableField id="9" name="2008" tableColumnId="32"/>
      <queryTableField id="10" name="2009" tableColumnId="33"/>
      <queryTableField id="11" name="2010" tableColumnId="34"/>
      <queryTableField id="12" name="2011" tableColumnId="35"/>
      <queryTableField id="13" name="2012" tableColumnId="36"/>
      <queryTableField id="14" name="2013" tableColumnId="37"/>
      <queryTableField id="15" name="2014" tableColumnId="38"/>
      <queryTableField id="16" name="2015" tableColumnId="39"/>
      <queryTableField id="17" name="2016" tableColumnId="40"/>
      <queryTableField id="18" name="2017" tableColumnId="41"/>
      <queryTableField id="19" name="2018" tableColumnId="42"/>
      <queryTableField id="20" name="2019" tableColumnId="43"/>
      <queryTableField id="21" name="2020" tableColumnId="44"/>
      <queryTableField id="22" name="2021" tableColumnId="45"/>
      <queryTableField id="23" name="2022" tableColumnId="46"/>
    </queryTableFields>
  </queryTableRefresh>
</queryTable>
</file>

<file path=xl/queryTables/queryTable6.xml><?xml version="1.0" encoding="utf-8"?>
<queryTable xmlns="http://schemas.openxmlformats.org/spreadsheetml/2006/main" name="ExterneDaten_1" connectionId="18" autoFormatId="0" applyNumberFormats="0" applyBorderFormats="0" applyFontFormats="1" applyPatternFormats="1" applyAlignmentFormats="0" applyWidthHeightFormats="0">
  <queryTableRefresh preserveSortFilterLayout="0" nextId="35">
    <queryTableFields count="34">
      <queryTableField id="1" name="Column1" tableColumnId="35"/>
      <queryTableField id="2" name="1990" tableColumnId="36"/>
      <queryTableField id="3" name="1991" tableColumnId="37"/>
      <queryTableField id="4" name="1992" tableColumnId="38"/>
      <queryTableField id="5" name="1993" tableColumnId="39"/>
      <queryTableField id="6" name="1994" tableColumnId="40"/>
      <queryTableField id="7" name="1995" tableColumnId="41"/>
      <queryTableField id="8" name="1996" tableColumnId="42"/>
      <queryTableField id="9" name="1997" tableColumnId="43"/>
      <queryTableField id="10" name="1998" tableColumnId="44"/>
      <queryTableField id="11" name="1999" tableColumnId="45"/>
      <queryTableField id="12" name="2000" tableColumnId="46"/>
      <queryTableField id="13" name="2001" tableColumnId="47"/>
      <queryTableField id="14" name="2002" tableColumnId="48"/>
      <queryTableField id="15" name="2003" tableColumnId="49"/>
      <queryTableField id="16" name="2004" tableColumnId="50"/>
      <queryTableField id="17" name="2005" tableColumnId="51"/>
      <queryTableField id="18" name="2006" tableColumnId="52"/>
      <queryTableField id="19" name="2007" tableColumnId="53"/>
      <queryTableField id="20" name="2008" tableColumnId="54"/>
      <queryTableField id="21" name="2009" tableColumnId="55"/>
      <queryTableField id="22" name="2010" tableColumnId="56"/>
      <queryTableField id="23" name="2011" tableColumnId="57"/>
      <queryTableField id="24" name="2012" tableColumnId="58"/>
      <queryTableField id="25" name="2013" tableColumnId="59"/>
      <queryTableField id="26" name="2014" tableColumnId="60"/>
      <queryTableField id="27" name="2015" tableColumnId="61"/>
      <queryTableField id="28" name="2016" tableColumnId="62"/>
      <queryTableField id="29" name="2017" tableColumnId="63"/>
      <queryTableField id="30" name="2018" tableColumnId="64"/>
      <queryTableField id="31" name="2019" tableColumnId="65"/>
      <queryTableField id="32" name="2020" tableColumnId="66"/>
      <queryTableField id="33" name="2021" tableColumnId="67"/>
      <queryTableField id="34" name="2022" tableColumnId="68"/>
    </queryTableFields>
  </queryTableRefresh>
</queryTable>
</file>

<file path=xl/queryTables/queryTable7.xml><?xml version="1.0" encoding="utf-8"?>
<queryTable xmlns="http://schemas.openxmlformats.org/spreadsheetml/2006/main" name="ExterneDaten_1" connectionId="20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Column1" tableColumnId="7"/>
      <queryTableField id="2" name="Straße" tableColumnId="8"/>
      <queryTableField id="3" name="Bundesschienenwege" tableColumnId="9"/>
      <queryTableField id="4" name="Sonstige Schienenwege" tableColumnId="10"/>
      <queryTableField id="5" name="Fluglärm" tableColumnId="11"/>
      <queryTableField id="6" name="Industrie" tableColumnId="12"/>
    </queryTableFields>
  </queryTableRefresh>
</queryTable>
</file>

<file path=xl/queryTables/queryTable8.xml><?xml version="1.0" encoding="utf-8"?>
<queryTable xmlns="http://schemas.openxmlformats.org/spreadsheetml/2006/main" name="ExterneDaten_1" connectionId="19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Column1" tableColumnId="7"/>
      <queryTableField id="2" name="Straße" tableColumnId="8"/>
      <queryTableField id="3" name="Bundesschienenwege" tableColumnId="9"/>
      <queryTableField id="4" name="Sonstige Schienenwege" tableColumnId="10"/>
      <queryTableField id="5" name="Fluglärm" tableColumnId="11"/>
      <queryTableField id="6" name="Industrie" tableColumnId="12"/>
    </queryTableFields>
  </queryTableRefresh>
</queryTable>
</file>

<file path=xl/queryTables/queryTable9.xml><?xml version="1.0" encoding="utf-8"?>
<queryTable xmlns="http://schemas.openxmlformats.org/spreadsheetml/2006/main" name="ExterneDaten_1" connectionId="1" autoFormatId="0" applyNumberFormats="0" applyBorderFormats="0" applyFontFormats="1" applyPatternFormats="1" applyAlignmentFormats="0" applyWidthHeightFormats="0">
  <queryTableRefresh preserveSortFilterLayout="0" nextId="29">
    <queryTableFields count="28">
      <queryTableField id="1" name="Column1" tableColumnId="29"/>
      <queryTableField id="2" name="1995" tableColumnId="30"/>
      <queryTableField id="3" name="1996" tableColumnId="31"/>
      <queryTableField id="4" name="1997" tableColumnId="32"/>
      <queryTableField id="5" name="1998" tableColumnId="33"/>
      <queryTableField id="6" name="1999" tableColumnId="34"/>
      <queryTableField id="7" name="2000" tableColumnId="35"/>
      <queryTableField id="8" name="2001" tableColumnId="36"/>
      <queryTableField id="9" name="2002" tableColumnId="37"/>
      <queryTableField id="10" name="2003" tableColumnId="38"/>
      <queryTableField id="11" name="2004" tableColumnId="39"/>
      <queryTableField id="12" name="2005" tableColumnId="40"/>
      <queryTableField id="13" name="2006" tableColumnId="41"/>
      <queryTableField id="14" name="2007" tableColumnId="42"/>
      <queryTableField id="15" name="2008" tableColumnId="43"/>
      <queryTableField id="16" name="2009" tableColumnId="44"/>
      <queryTableField id="17" name="2010" tableColumnId="45"/>
      <queryTableField id="18" name="2011" tableColumnId="46"/>
      <queryTableField id="19" name="2012" tableColumnId="47"/>
      <queryTableField id="20" name="2013" tableColumnId="48"/>
      <queryTableField id="21" name="2014" tableColumnId="49"/>
      <queryTableField id="22" name="2015" tableColumnId="50"/>
      <queryTableField id="23" name="2016" tableColumnId="51"/>
      <queryTableField id="24" name="2017" tableColumnId="52"/>
      <queryTableField id="25" name="2018" tableColumnId="53"/>
      <queryTableField id="26" name="2019" tableColumnId="54"/>
      <queryTableField id="27" name="2020" tableColumnId="55"/>
      <queryTableField id="28" name="2021" tableColumnId="5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9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2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0.xml"/></Relationships>
</file>

<file path=xl/tables/_rels/table2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3" name="kee_02_treibhausgase" displayName="kee_02_treibhausgase" ref="A21:X29" tableType="queryTable" totalsRowShown="0">
  <autoFilter ref="A21:X29"/>
  <tableColumns count="24">
    <tableColumn id="25" uniqueName="25" name="Column1" queryTableFieldId="1" dataDxfId="540"/>
    <tableColumn id="26" uniqueName="26" name="1990" queryTableFieldId="2" dataDxfId="539"/>
    <tableColumn id="27" uniqueName="27" name="1991-1994" queryTableFieldId="3" dataDxfId="538"/>
    <tableColumn id="28" uniqueName="28" name="1995" queryTableFieldId="4" dataDxfId="537"/>
    <tableColumn id="29" uniqueName="29" name="1996-1999" queryTableFieldId="5" dataDxfId="536"/>
    <tableColumn id="30" uniqueName="30" name="2000" queryTableFieldId="6" dataDxfId="535"/>
    <tableColumn id="31" uniqueName="31" name="2001-2004" queryTableFieldId="7" dataDxfId="534"/>
    <tableColumn id="32" uniqueName="32" name="2005" queryTableFieldId="8" dataDxfId="533"/>
    <tableColumn id="33" uniqueName="33" name="2006" queryTableFieldId="9" dataDxfId="532"/>
    <tableColumn id="34" uniqueName="34" name="2007" queryTableFieldId="10" dataDxfId="531"/>
    <tableColumn id="35" uniqueName="35" name="2008" queryTableFieldId="11" dataDxfId="530"/>
    <tableColumn id="36" uniqueName="36" name="2009" queryTableFieldId="12" dataDxfId="529"/>
    <tableColumn id="37" uniqueName="37" name="2010" queryTableFieldId="13" dataDxfId="528"/>
    <tableColumn id="38" uniqueName="38" name="2011" queryTableFieldId="14" dataDxfId="527"/>
    <tableColumn id="39" uniqueName="39" name="2012" queryTableFieldId="15" dataDxfId="526"/>
    <tableColumn id="40" uniqueName="40" name="2013" queryTableFieldId="16" dataDxfId="525"/>
    <tableColumn id="41" uniqueName="41" name="2014" queryTableFieldId="17" dataDxfId="524"/>
    <tableColumn id="42" uniqueName="42" name="2015" queryTableFieldId="18" dataDxfId="523"/>
    <tableColumn id="43" uniqueName="43" name="2016" queryTableFieldId="19" dataDxfId="522"/>
    <tableColumn id="44" uniqueName="44" name="2017" queryTableFieldId="20" dataDxfId="521"/>
    <tableColumn id="45" uniqueName="45" name="2018" queryTableFieldId="21" dataDxfId="520"/>
    <tableColumn id="46" uniqueName="46" name="2019" queryTableFieldId="22" dataDxfId="519"/>
    <tableColumn id="47" uniqueName="47" name="2020" queryTableFieldId="23" dataDxfId="518"/>
    <tableColumn id="48" uniqueName="48" name="2021" queryTableFieldId="24" dataDxfId="517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id="23" name="abw_02_recycling" displayName="abw_02_recycling" ref="A21:AA22" tableType="queryTable" totalsRowShown="0">
  <autoFilter ref="A21:AA22"/>
  <tableColumns count="27">
    <tableColumn id="28" uniqueName="28" name="Column1" queryTableFieldId="1" dataDxfId="368"/>
    <tableColumn id="29" uniqueName="29" name="1995" queryTableFieldId="2" dataDxfId="367"/>
    <tableColumn id="30" uniqueName="30" name="1996" queryTableFieldId="3" dataDxfId="366"/>
    <tableColumn id="31" uniqueName="31" name="1997" queryTableFieldId="4" dataDxfId="365"/>
    <tableColumn id="32" uniqueName="32" name="1998" queryTableFieldId="5" dataDxfId="364"/>
    <tableColumn id="33" uniqueName="33" name="1999" queryTableFieldId="6" dataDxfId="363"/>
    <tableColumn id="34" uniqueName="34" name="2000" queryTableFieldId="7" dataDxfId="362"/>
    <tableColumn id="35" uniqueName="35" name="2001" queryTableFieldId="8" dataDxfId="361"/>
    <tableColumn id="36" uniqueName="36" name="2002" queryTableFieldId="9" dataDxfId="360"/>
    <tableColumn id="37" uniqueName="37" name="2003" queryTableFieldId="10" dataDxfId="359"/>
    <tableColumn id="38" uniqueName="38" name="2004" queryTableFieldId="11" dataDxfId="358"/>
    <tableColumn id="39" uniqueName="39" name="2005" queryTableFieldId="12" dataDxfId="357"/>
    <tableColumn id="40" uniqueName="40" name="2006" queryTableFieldId="13" dataDxfId="356"/>
    <tableColumn id="41" uniqueName="41" name="2007" queryTableFieldId="14" dataDxfId="355"/>
    <tableColumn id="42" uniqueName="42" name="2008" queryTableFieldId="15" dataDxfId="354"/>
    <tableColumn id="43" uniqueName="43" name="2009" queryTableFieldId="16" dataDxfId="353"/>
    <tableColumn id="44" uniqueName="44" name="2010" queryTableFieldId="17" dataDxfId="352"/>
    <tableColumn id="45" uniqueName="45" name="2011" queryTableFieldId="18" dataDxfId="351"/>
    <tableColumn id="46" uniqueName="46" name="2012" queryTableFieldId="19" dataDxfId="350"/>
    <tableColumn id="47" uniqueName="47" name="2013" queryTableFieldId="20" dataDxfId="349"/>
    <tableColumn id="48" uniqueName="48" name="2014" queryTableFieldId="21" dataDxfId="348"/>
    <tableColumn id="49" uniqueName="49" name="2015" queryTableFieldId="22" dataDxfId="347"/>
    <tableColumn id="50" uniqueName="50" name="2016" queryTableFieldId="23" dataDxfId="346"/>
    <tableColumn id="51" uniqueName="51" name="2017" queryTableFieldId="24" dataDxfId="345"/>
    <tableColumn id="52" uniqueName="52" name="2018" queryTableFieldId="25" dataDxfId="344"/>
    <tableColumn id="53" uniqueName="53" name="2019" queryTableFieldId="26" dataDxfId="343"/>
    <tableColumn id="54" uniqueName="54" name="2020" queryTableFieldId="27" dataDxfId="342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id="24" name="abw_03_flaechenverbrauch" displayName="abw_03_flaechenverbrauch" ref="A21:AA23" tableType="queryTable" totalsRowShown="0">
  <autoFilter ref="A21:AA23"/>
  <tableColumns count="27">
    <tableColumn id="28" uniqueName="28" name="Column1" queryTableFieldId="1" dataDxfId="341"/>
    <tableColumn id="29" uniqueName="29" name="1996" queryTableFieldId="2" dataDxfId="340"/>
    <tableColumn id="30" uniqueName="30" name="1997" queryTableFieldId="3" dataDxfId="339"/>
    <tableColumn id="31" uniqueName="31" name="1998" queryTableFieldId="4" dataDxfId="338"/>
    <tableColumn id="32" uniqueName="32" name="1999" queryTableFieldId="5" dataDxfId="337"/>
    <tableColumn id="33" uniqueName="33" name="2000" queryTableFieldId="6" dataDxfId="336"/>
    <tableColumn id="34" uniqueName="34" name="2001" queryTableFieldId="7" dataDxfId="335"/>
    <tableColumn id="35" uniqueName="35" name="2002" queryTableFieldId="8" dataDxfId="334"/>
    <tableColumn id="36" uniqueName="36" name="2003" queryTableFieldId="9" dataDxfId="333"/>
    <tableColumn id="37" uniqueName="37" name="2004" queryTableFieldId="10" dataDxfId="332"/>
    <tableColumn id="38" uniqueName="38" name="2005" queryTableFieldId="11" dataDxfId="331"/>
    <tableColumn id="39" uniqueName="39" name="2006" queryTableFieldId="12" dataDxfId="330"/>
    <tableColumn id="40" uniqueName="40" name="2007" queryTableFieldId="13" dataDxfId="329"/>
    <tableColumn id="41" uniqueName="41" name="2008" queryTableFieldId="14" dataDxfId="328"/>
    <tableColumn id="42" uniqueName="42" name="2009" queryTableFieldId="15" dataDxfId="327"/>
    <tableColumn id="43" uniqueName="43" name="2010" queryTableFieldId="16" dataDxfId="326"/>
    <tableColumn id="44" uniqueName="44" name="2011" queryTableFieldId="17" dataDxfId="325"/>
    <tableColumn id="45" uniqueName="45" name="2012" queryTableFieldId="18" dataDxfId="324"/>
    <tableColumn id="46" uniqueName="46" name="2013" queryTableFieldId="19" dataDxfId="323"/>
    <tableColumn id="47" uniqueName="47" name="2014" queryTableFieldId="20" dataDxfId="322"/>
    <tableColumn id="48" uniqueName="48" name="2015" queryTableFieldId="21" dataDxfId="321"/>
    <tableColumn id="49" uniqueName="49" name="2016 *)" queryTableFieldId="22" dataDxfId="320"/>
    <tableColumn id="50" uniqueName="50" name="2017 *)" queryTableFieldId="23" dataDxfId="319"/>
    <tableColumn id="51" uniqueName="51" name="2018" queryTableFieldId="24" dataDxfId="318"/>
    <tableColumn id="52" uniqueName="52" name="2019" queryTableFieldId="25" dataDxfId="317"/>
    <tableColumn id="53" uniqueName="53" name="2020" queryTableFieldId="26" dataDxfId="316"/>
    <tableColumn id="54" uniqueName="54" name="2021" queryTableFieldId="27" dataDxfId="315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id="25" name="abw_04_siedlungsflaeche" displayName="abw_04_siedlungsflaeche" ref="A21:AA23" tableType="queryTable" totalsRowShown="0">
  <autoFilter ref="A21:AA23"/>
  <tableColumns count="27">
    <tableColumn id="28" uniqueName="28" name="Column1" queryTableFieldId="1" dataDxfId="314"/>
    <tableColumn id="29" uniqueName="29" name="1996" queryTableFieldId="2" dataDxfId="313"/>
    <tableColumn id="30" uniqueName="30" name="1997" queryTableFieldId="3" dataDxfId="312"/>
    <tableColumn id="31" uniqueName="31" name="1998" queryTableFieldId="4" dataDxfId="311"/>
    <tableColumn id="32" uniqueName="32" name="1999" queryTableFieldId="5" dataDxfId="310"/>
    <tableColumn id="33" uniqueName="33" name="2000" queryTableFieldId="6" dataDxfId="309"/>
    <tableColumn id="34" uniqueName="34" name="2001" queryTableFieldId="7" dataDxfId="308"/>
    <tableColumn id="35" uniqueName="35" name="2002" queryTableFieldId="8" dataDxfId="307"/>
    <tableColumn id="36" uniqueName="36" name="2003" queryTableFieldId="9" dataDxfId="306"/>
    <tableColumn id="37" uniqueName="37" name="2004" queryTableFieldId="10" dataDxfId="305"/>
    <tableColumn id="38" uniqueName="38" name="2005" queryTableFieldId="11" dataDxfId="304"/>
    <tableColumn id="39" uniqueName="39" name="2006" queryTableFieldId="12" dataDxfId="303"/>
    <tableColumn id="40" uniqueName="40" name="2007" queryTableFieldId="13" dataDxfId="302"/>
    <tableColumn id="41" uniqueName="41" name="2008" queryTableFieldId="14" dataDxfId="301"/>
    <tableColumn id="42" uniqueName="42" name="2009" queryTableFieldId="15" dataDxfId="300"/>
    <tableColumn id="43" uniqueName="43" name="2010" queryTableFieldId="16" dataDxfId="299"/>
    <tableColumn id="44" uniqueName="44" name="2011" queryTableFieldId="17" dataDxfId="298"/>
    <tableColumn id="45" uniqueName="45" name="2012" queryTableFieldId="18" dataDxfId="297"/>
    <tableColumn id="46" uniqueName="46" name="2013" queryTableFieldId="19" dataDxfId="296"/>
    <tableColumn id="47" uniqueName="47" name="2014" queryTableFieldId="20" dataDxfId="295"/>
    <tableColumn id="48" uniqueName="48" name="2015" queryTableFieldId="21" dataDxfId="294"/>
    <tableColumn id="49" uniqueName="49" name="2016" queryTableFieldId="22" dataDxfId="293"/>
    <tableColumn id="50" uniqueName="50" name="2017" queryTableFieldId="23" dataDxfId="292"/>
    <tableColumn id="51" uniqueName="51" name="2018" queryTableFieldId="24" dataDxfId="291"/>
    <tableColumn id="52" uniqueName="52" name="2019" queryTableFieldId="25" dataDxfId="290"/>
    <tableColumn id="53" uniqueName="53" name="2020" queryTableFieldId="26" dataDxfId="289"/>
    <tableColumn id="54" uniqueName="54" name="2021" queryTableFieldId="27" dataDxfId="288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id="26" name="abw_05_schwermetalleintrag" displayName="abw_05_schwermetalleintrag" ref="A21:AL22" tableType="queryTable" totalsRowShown="0">
  <autoFilter ref="A21:AL22"/>
  <tableColumns count="38">
    <tableColumn id="39" uniqueName="39" name="Column1" queryTableFieldId="1" dataDxfId="287"/>
    <tableColumn id="40" uniqueName="40" name="1986" queryTableFieldId="2" dataDxfId="286"/>
    <tableColumn id="41" uniqueName="41" name="1987" queryTableFieldId="3" dataDxfId="285"/>
    <tableColumn id="42" uniqueName="42" name="1988" queryTableFieldId="4" dataDxfId="284"/>
    <tableColumn id="43" uniqueName="43" name="1989" queryTableFieldId="5" dataDxfId="283"/>
    <tableColumn id="44" uniqueName="44" name="1990" queryTableFieldId="6" dataDxfId="282"/>
    <tableColumn id="45" uniqueName="45" name="1991" queryTableFieldId="7" dataDxfId="281"/>
    <tableColumn id="46" uniqueName="46" name="1992" queryTableFieldId="8" dataDxfId="280"/>
    <tableColumn id="47" uniqueName="47" name="1993" queryTableFieldId="9" dataDxfId="279"/>
    <tableColumn id="48" uniqueName="48" name="1994" queryTableFieldId="10" dataDxfId="278"/>
    <tableColumn id="49" uniqueName="49" name="1995" queryTableFieldId="11" dataDxfId="277"/>
    <tableColumn id="50" uniqueName="50" name="1996" queryTableFieldId="12" dataDxfId="276"/>
    <tableColumn id="51" uniqueName="51" name="1997" queryTableFieldId="13" dataDxfId="275"/>
    <tableColumn id="52" uniqueName="52" name="1998" queryTableFieldId="14" dataDxfId="274"/>
    <tableColumn id="53" uniqueName="53" name="1999" queryTableFieldId="15" dataDxfId="273"/>
    <tableColumn id="54" uniqueName="54" name="2000" queryTableFieldId="16" dataDxfId="272"/>
    <tableColumn id="55" uniqueName="55" name="2001" queryTableFieldId="17" dataDxfId="271"/>
    <tableColumn id="56" uniqueName="56" name="2002" queryTableFieldId="18" dataDxfId="270"/>
    <tableColumn id="57" uniqueName="57" name="2003" queryTableFieldId="19" dataDxfId="269"/>
    <tableColumn id="58" uniqueName="58" name="2004" queryTableFieldId="20" dataDxfId="268"/>
    <tableColumn id="59" uniqueName="59" name="2005" queryTableFieldId="21" dataDxfId="267"/>
    <tableColumn id="60" uniqueName="60" name="2006" queryTableFieldId="22" dataDxfId="266"/>
    <tableColumn id="61" uniqueName="61" name="2007" queryTableFieldId="23" dataDxfId="265"/>
    <tableColumn id="62" uniqueName="62" name="2008" queryTableFieldId="24" dataDxfId="264"/>
    <tableColumn id="63" uniqueName="63" name="2009" queryTableFieldId="25" dataDxfId="263"/>
    <tableColumn id="64" uniqueName="64" name="2010" queryTableFieldId="26" dataDxfId="262"/>
    <tableColumn id="65" uniqueName="65" name="2011" queryTableFieldId="27" dataDxfId="261"/>
    <tableColumn id="66" uniqueName="66" name="2012" queryTableFieldId="28" dataDxfId="260"/>
    <tableColumn id="67" uniqueName="67" name="2013" queryTableFieldId="29" dataDxfId="259"/>
    <tableColumn id="68" uniqueName="68" name="2014" queryTableFieldId="30" dataDxfId="258"/>
    <tableColumn id="69" uniqueName="69" name="2015" queryTableFieldId="31" dataDxfId="257"/>
    <tableColumn id="70" uniqueName="70" name="2016" queryTableFieldId="32" dataDxfId="256"/>
    <tableColumn id="71" uniqueName="71" name="2017" queryTableFieldId="33" dataDxfId="255"/>
    <tableColumn id="72" uniqueName="72" name="2018" queryTableFieldId="34" dataDxfId="254"/>
    <tableColumn id="73" uniqueName="73" name="2019" queryTableFieldId="35" dataDxfId="253"/>
    <tableColumn id="74" uniqueName="74" name="2020" queryTableFieldId="36" dataDxfId="252"/>
    <tableColumn id="75" uniqueName="75" name="2021" queryTableFieldId="37" dataDxfId="251"/>
    <tableColumn id="76" uniqueName="76" name="2022" queryTableFieldId="38" dataDxfId="250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id="27" name="abw_06_fliessgewaesser" displayName="abw_06_fliessgewaesser" ref="A21:C25" tableType="queryTable" totalsRowShown="0">
  <autoFilter ref="A21:C25"/>
  <tableColumns count="3">
    <tableColumn id="4" uniqueName="4" name="Column1" queryTableFieldId="1" dataDxfId="249"/>
    <tableColumn id="5" uniqueName="5" name="2012-2014" queryTableFieldId="2" dataDxfId="248"/>
    <tableColumn id="6" uniqueName="6" name="2015-2018" queryTableFieldId="3" dataDxfId="247"/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id="28" name="abw_07_nitrat_grundwasser" displayName="abw_07_nitrat_grundwasser" ref="A21:O22" tableType="queryTable" totalsRowShown="0">
  <autoFilter ref="A21:O22"/>
  <tableColumns count="15">
    <tableColumn id="16" uniqueName="16" name="Column1" queryTableFieldId="1" dataDxfId="246"/>
    <tableColumn id="17" uniqueName="17" name="2008" queryTableFieldId="2" dataDxfId="245"/>
    <tableColumn id="18" uniqueName="18" name="2009" queryTableFieldId="3" dataDxfId="244"/>
    <tableColumn id="19" uniqueName="19" name="2010" queryTableFieldId="4" dataDxfId="243"/>
    <tableColumn id="20" uniqueName="20" name="2011" queryTableFieldId="5" dataDxfId="242"/>
    <tableColumn id="21" uniqueName="21" name="2012" queryTableFieldId="6" dataDxfId="241"/>
    <tableColumn id="22" uniqueName="22" name="2013" queryTableFieldId="7" dataDxfId="240"/>
    <tableColumn id="23" uniqueName="23" name="2014" queryTableFieldId="8" dataDxfId="239"/>
    <tableColumn id="24" uniqueName="24" name="2015" queryTableFieldId="9" dataDxfId="238"/>
    <tableColumn id="25" uniqueName="25" name="2016" queryTableFieldId="10" dataDxfId="237"/>
    <tableColumn id="26" uniqueName="26" name="2017" queryTableFieldId="11" dataDxfId="236"/>
    <tableColumn id="27" uniqueName="27" name="2018" queryTableFieldId="12" dataDxfId="235"/>
    <tableColumn id="28" uniqueName="28" name="2019" queryTableFieldId="13" dataDxfId="234"/>
    <tableColumn id="29" uniqueName="29" name="2020" queryTableFieldId="14" dataDxfId="233"/>
    <tableColumn id="30" uniqueName="30" name="2021" queryTableFieldId="15" dataDxfId="232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id="29" name="nlr_01_gef_arten" displayName="nlr_01_gef_arten" ref="A21:H29" tableType="queryTable" totalsRowShown="0">
  <autoFilter ref="A21:H29"/>
  <tableColumns count="8">
    <tableColumn id="9" uniqueName="9" name="Column1" queryTableFieldId="1" dataDxfId="231"/>
    <tableColumn id="10" uniqueName="10" name="Ausgestorben oder verschollen" queryTableFieldId="2" dataDxfId="230"/>
    <tableColumn id="11" uniqueName="11" name="Durch extreme Seltenheit gefährdet" queryTableFieldId="3" dataDxfId="229"/>
    <tableColumn id="12" uniqueName="12" name="Gefährdungausmaß unbekannt" queryTableFieldId="4" dataDxfId="228"/>
    <tableColumn id="13" uniqueName="13" name="Vom Aussterben bedroht" queryTableFieldId="5" dataDxfId="227"/>
    <tableColumn id="14" uniqueName="14" name="Stark gefährdet" queryTableFieldId="6" dataDxfId="226"/>
    <tableColumn id="15" uniqueName="15" name="Gefährdet" queryTableFieldId="7" dataDxfId="225"/>
    <tableColumn id="16" uniqueName="16" name="Nicht in der Roten Liste" queryTableFieldId="8" dataDxfId="224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id="31" name="nlr_03_naturschutzflaechen" displayName="nlr_03_naturschutzflaechen" ref="A21:CZ22" tableType="queryTable" totalsRowShown="0">
  <autoFilter ref="A21:CZ22"/>
  <tableColumns count="104">
    <tableColumn id="105" uniqueName="105" name="Column1" queryTableFieldId="1" dataDxfId="223"/>
    <tableColumn id="106" uniqueName="106" name="1920" queryTableFieldId="2" dataDxfId="222"/>
    <tableColumn id="107" uniqueName="107" name="1921" queryTableFieldId="3" dataDxfId="221"/>
    <tableColumn id="108" uniqueName="108" name="1922" queryTableFieldId="4" dataDxfId="220"/>
    <tableColumn id="109" uniqueName="109" name="1923" queryTableFieldId="5" dataDxfId="219"/>
    <tableColumn id="110" uniqueName="110" name="1924" queryTableFieldId="6" dataDxfId="218"/>
    <tableColumn id="111" uniqueName="111" name="1925" queryTableFieldId="7" dataDxfId="217"/>
    <tableColumn id="112" uniqueName="112" name="1926" queryTableFieldId="8" dataDxfId="216"/>
    <tableColumn id="113" uniqueName="113" name="1927" queryTableFieldId="9" dataDxfId="215"/>
    <tableColumn id="114" uniqueName="114" name="1928" queryTableFieldId="10" dataDxfId="214"/>
    <tableColumn id="115" uniqueName="115" name="1929" queryTableFieldId="11" dataDxfId="213"/>
    <tableColumn id="116" uniqueName="116" name="1930" queryTableFieldId="12" dataDxfId="212"/>
    <tableColumn id="117" uniqueName="117" name="1931" queryTableFieldId="13" dataDxfId="211"/>
    <tableColumn id="118" uniqueName="118" name="1932" queryTableFieldId="14" dataDxfId="210"/>
    <tableColumn id="119" uniqueName="119" name="1933" queryTableFieldId="15" dataDxfId="209"/>
    <tableColumn id="120" uniqueName="120" name="1934" queryTableFieldId="16" dataDxfId="208"/>
    <tableColumn id="121" uniqueName="121" name="1935" queryTableFieldId="17" dataDxfId="207"/>
    <tableColumn id="122" uniqueName="122" name="1936" queryTableFieldId="18" dataDxfId="206"/>
    <tableColumn id="123" uniqueName="123" name="1937" queryTableFieldId="19" dataDxfId="205"/>
    <tableColumn id="124" uniqueName="124" name="1938" queryTableFieldId="20" dataDxfId="204"/>
    <tableColumn id="125" uniqueName="125" name="1939" queryTableFieldId="21" dataDxfId="203"/>
    <tableColumn id="126" uniqueName="126" name="1940" queryTableFieldId="22" dataDxfId="202"/>
    <tableColumn id="127" uniqueName="127" name="1941" queryTableFieldId="23" dataDxfId="201"/>
    <tableColumn id="128" uniqueName="128" name="1942" queryTableFieldId="24" dataDxfId="200"/>
    <tableColumn id="129" uniqueName="129" name="1943" queryTableFieldId="25" dataDxfId="199"/>
    <tableColumn id="130" uniqueName="130" name="1944" queryTableFieldId="26" dataDxfId="198"/>
    <tableColumn id="131" uniqueName="131" name="1945" queryTableFieldId="27" dataDxfId="197"/>
    <tableColumn id="132" uniqueName="132" name="1946" queryTableFieldId="28" dataDxfId="196"/>
    <tableColumn id="133" uniqueName="133" name="1947" queryTableFieldId="29" dataDxfId="195"/>
    <tableColumn id="134" uniqueName="134" name="1948" queryTableFieldId="30" dataDxfId="194"/>
    <tableColumn id="135" uniqueName="135" name="1949" queryTableFieldId="31" dataDxfId="193"/>
    <tableColumn id="136" uniqueName="136" name="1950" queryTableFieldId="32" dataDxfId="192"/>
    <tableColumn id="137" uniqueName="137" name="1951" queryTableFieldId="33" dataDxfId="191"/>
    <tableColumn id="138" uniqueName="138" name="1952" queryTableFieldId="34" dataDxfId="190"/>
    <tableColumn id="139" uniqueName="139" name="1953" queryTableFieldId="35" dataDxfId="189"/>
    <tableColumn id="140" uniqueName="140" name="1954" queryTableFieldId="36" dataDxfId="188"/>
    <tableColumn id="141" uniqueName="141" name="1955" queryTableFieldId="37" dataDxfId="187"/>
    <tableColumn id="142" uniqueName="142" name="1956" queryTableFieldId="38" dataDxfId="186"/>
    <tableColumn id="143" uniqueName="143" name="1957" queryTableFieldId="39" dataDxfId="185"/>
    <tableColumn id="144" uniqueName="144" name="1958" queryTableFieldId="40" dataDxfId="184"/>
    <tableColumn id="145" uniqueName="145" name="1959" queryTableFieldId="41" dataDxfId="183"/>
    <tableColumn id="146" uniqueName="146" name="1960" queryTableFieldId="42" dataDxfId="182"/>
    <tableColumn id="147" uniqueName="147" name="1961" queryTableFieldId="43" dataDxfId="181"/>
    <tableColumn id="148" uniqueName="148" name="1962" queryTableFieldId="44" dataDxfId="180"/>
    <tableColumn id="149" uniqueName="149" name="1963" queryTableFieldId="45" dataDxfId="179"/>
    <tableColumn id="150" uniqueName="150" name="1964" queryTableFieldId="46" dataDxfId="178"/>
    <tableColumn id="151" uniqueName="151" name="1965" queryTableFieldId="47" dataDxfId="177"/>
    <tableColumn id="152" uniqueName="152" name="1966" queryTableFieldId="48" dataDxfId="176"/>
    <tableColumn id="153" uniqueName="153" name="1967" queryTableFieldId="49" dataDxfId="175"/>
    <tableColumn id="154" uniqueName="154" name="1968" queryTableFieldId="50" dataDxfId="174"/>
    <tableColumn id="155" uniqueName="155" name="1969" queryTableFieldId="51" dataDxfId="173"/>
    <tableColumn id="156" uniqueName="156" name="1970" queryTableFieldId="52" dataDxfId="172"/>
    <tableColumn id="157" uniqueName="157" name="1971" queryTableFieldId="53" dataDxfId="171"/>
    <tableColumn id="158" uniqueName="158" name="1972" queryTableFieldId="54" dataDxfId="170"/>
    <tableColumn id="159" uniqueName="159" name="1973" queryTableFieldId="55" dataDxfId="169"/>
    <tableColumn id="160" uniqueName="160" name="1974" queryTableFieldId="56" dataDxfId="168"/>
    <tableColumn id="161" uniqueName="161" name="1975" queryTableFieldId="57" dataDxfId="167"/>
    <tableColumn id="162" uniqueName="162" name="1976" queryTableFieldId="58" dataDxfId="166"/>
    <tableColumn id="163" uniqueName="163" name="1977" queryTableFieldId="59" dataDxfId="165"/>
    <tableColumn id="164" uniqueName="164" name="1978" queryTableFieldId="60" dataDxfId="164"/>
    <tableColumn id="165" uniqueName="165" name="1979" queryTableFieldId="61" dataDxfId="163"/>
    <tableColumn id="166" uniqueName="166" name="1980" queryTableFieldId="62" dataDxfId="162"/>
    <tableColumn id="167" uniqueName="167" name="1981" queryTableFieldId="63" dataDxfId="161"/>
    <tableColumn id="168" uniqueName="168" name="1982" queryTableFieldId="64" dataDxfId="160"/>
    <tableColumn id="169" uniqueName="169" name="1983" queryTableFieldId="65" dataDxfId="159"/>
    <tableColumn id="170" uniqueName="170" name="1984" queryTableFieldId="66" dataDxfId="158"/>
    <tableColumn id="171" uniqueName="171" name="1985" queryTableFieldId="67" dataDxfId="157"/>
    <tableColumn id="172" uniqueName="172" name="1986" queryTableFieldId="68" dataDxfId="156"/>
    <tableColumn id="173" uniqueName="173" name="1987" queryTableFieldId="69" dataDxfId="155"/>
    <tableColumn id="174" uniqueName="174" name="1988" queryTableFieldId="70" dataDxfId="154"/>
    <tableColumn id="175" uniqueName="175" name="1989" queryTableFieldId="71" dataDxfId="153"/>
    <tableColumn id="176" uniqueName="176" name="1990" queryTableFieldId="72" dataDxfId="152"/>
    <tableColumn id="177" uniqueName="177" name="1991" queryTableFieldId="73" dataDxfId="151"/>
    <tableColumn id="178" uniqueName="178" name="1992" queryTableFieldId="74" dataDxfId="150"/>
    <tableColumn id="179" uniqueName="179" name="1993" queryTableFieldId="75" dataDxfId="149"/>
    <tableColumn id="180" uniqueName="180" name="1994" queryTableFieldId="76" dataDxfId="148"/>
    <tableColumn id="181" uniqueName="181" name="1995" queryTableFieldId="77" dataDxfId="147"/>
    <tableColumn id="182" uniqueName="182" name="1996" queryTableFieldId="78" dataDxfId="146"/>
    <tableColumn id="183" uniqueName="183" name="1997" queryTableFieldId="79" dataDxfId="145"/>
    <tableColumn id="184" uniqueName="184" name="1998" queryTableFieldId="80" dataDxfId="144"/>
    <tableColumn id="185" uniqueName="185" name="1999" queryTableFieldId="81" dataDxfId="143"/>
    <tableColumn id="186" uniqueName="186" name="2000" queryTableFieldId="82" dataDxfId="142"/>
    <tableColumn id="187" uniqueName="187" name="2001" queryTableFieldId="83" dataDxfId="141"/>
    <tableColumn id="188" uniqueName="188" name="2002" queryTableFieldId="84" dataDxfId="140"/>
    <tableColumn id="189" uniqueName="189" name="2003" queryTableFieldId="85" dataDxfId="139"/>
    <tableColumn id="190" uniqueName="190" name="2004" queryTableFieldId="86" dataDxfId="138"/>
    <tableColumn id="191" uniqueName="191" name="2005" queryTableFieldId="87" dataDxfId="137"/>
    <tableColumn id="192" uniqueName="192" name="2006" queryTableFieldId="88" dataDxfId="136"/>
    <tableColumn id="193" uniqueName="193" name="2007" queryTableFieldId="89" dataDxfId="135"/>
    <tableColumn id="194" uniqueName="194" name="2008" queryTableFieldId="90" dataDxfId="134"/>
    <tableColumn id="195" uniqueName="195" name="2009" queryTableFieldId="91" dataDxfId="133"/>
    <tableColumn id="196" uniqueName="196" name="2010" queryTableFieldId="92" dataDxfId="132"/>
    <tableColumn id="197" uniqueName="197" name="2011" queryTableFieldId="93" dataDxfId="131"/>
    <tableColumn id="198" uniqueName="198" name="2012" queryTableFieldId="94" dataDxfId="130"/>
    <tableColumn id="199" uniqueName="199" name="2013" queryTableFieldId="95" dataDxfId="129"/>
    <tableColumn id="200" uniqueName="200" name="2014" queryTableFieldId="96" dataDxfId="128"/>
    <tableColumn id="201" uniqueName="201" name="2015" queryTableFieldId="97" dataDxfId="127"/>
    <tableColumn id="202" uniqueName="202" name="2016" queryTableFieldId="98" dataDxfId="126"/>
    <tableColumn id="203" uniqueName="203" name="2017" queryTableFieldId="99" dataDxfId="125"/>
    <tableColumn id="204" uniqueName="204" name="2018" queryTableFieldId="100" dataDxfId="124"/>
    <tableColumn id="205" uniqueName="205" name="2019" queryTableFieldId="101" dataDxfId="123"/>
    <tableColumn id="206" uniqueName="206" name="2020" queryTableFieldId="102" dataDxfId="122"/>
    <tableColumn id="207" uniqueName="207" name="2021" queryTableFieldId="103" dataDxfId="121"/>
    <tableColumn id="208" uniqueName="208" name="2022" queryTableFieldId="104" dataDxfId="120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id="32" name="nlr_04_stickstoffeintrag" displayName="nlr_04_stickstoffeintrag" ref="A21:AM22" tableType="queryTable" totalsRowShown="0">
  <autoFilter ref="A21:AM22"/>
  <tableColumns count="39">
    <tableColumn id="40" uniqueName="40" name="Column1" queryTableFieldId="1" dataDxfId="119"/>
    <tableColumn id="41" uniqueName="41" name="1983" queryTableFieldId="2" dataDxfId="118"/>
    <tableColumn id="42" uniqueName="42" name="1984" queryTableFieldId="3" dataDxfId="117"/>
    <tableColumn id="43" uniqueName="43" name="1985" queryTableFieldId="4" dataDxfId="116"/>
    <tableColumn id="44" uniqueName="44" name="1986" queryTableFieldId="5" dataDxfId="115"/>
    <tableColumn id="45" uniqueName="45" name="1987" queryTableFieldId="6" dataDxfId="114"/>
    <tableColumn id="46" uniqueName="46" name="1988" queryTableFieldId="7" dataDxfId="113"/>
    <tableColumn id="47" uniqueName="47" name="1989" queryTableFieldId="8" dataDxfId="112"/>
    <tableColumn id="48" uniqueName="48" name="1990" queryTableFieldId="9" dataDxfId="111"/>
    <tableColumn id="49" uniqueName="49" name="1991" queryTableFieldId="10" dataDxfId="110"/>
    <tableColumn id="50" uniqueName="50" name="1992" queryTableFieldId="11" dataDxfId="109"/>
    <tableColumn id="51" uniqueName="51" name="1993" queryTableFieldId="12" dataDxfId="108"/>
    <tableColumn id="52" uniqueName="52" name="1994" queryTableFieldId="13" dataDxfId="107"/>
    <tableColumn id="53" uniqueName="53" name="1995" queryTableFieldId="14" dataDxfId="106"/>
    <tableColumn id="54" uniqueName="54" name="1996" queryTableFieldId="15" dataDxfId="105"/>
    <tableColumn id="55" uniqueName="55" name="1997" queryTableFieldId="16" dataDxfId="104"/>
    <tableColumn id="56" uniqueName="56" name="1998" queryTableFieldId="17" dataDxfId="103"/>
    <tableColumn id="57" uniqueName="57" name="1999" queryTableFieldId="18" dataDxfId="102"/>
    <tableColumn id="58" uniqueName="58" name="2000" queryTableFieldId="19" dataDxfId="101"/>
    <tableColumn id="59" uniqueName="59" name="2001" queryTableFieldId="20" dataDxfId="100"/>
    <tableColumn id="60" uniqueName="60" name="2002" queryTableFieldId="21" dataDxfId="99"/>
    <tableColumn id="61" uniqueName="61" name="2003" queryTableFieldId="22" dataDxfId="98"/>
    <tableColumn id="62" uniqueName="62" name="2004" queryTableFieldId="23" dataDxfId="97"/>
    <tableColumn id="63" uniqueName="63" name="2005" queryTableFieldId="24" dataDxfId="96"/>
    <tableColumn id="64" uniqueName="64" name="2006" queryTableFieldId="25" dataDxfId="95"/>
    <tableColumn id="65" uniqueName="65" name="2007" queryTableFieldId="26" dataDxfId="94"/>
    <tableColumn id="66" uniqueName="66" name="2008" queryTableFieldId="27" dataDxfId="93"/>
    <tableColumn id="67" uniqueName="67" name="2009" queryTableFieldId="28" dataDxfId="92"/>
    <tableColumn id="68" uniqueName="68" name="2010" queryTableFieldId="29" dataDxfId="91"/>
    <tableColumn id="69" uniqueName="69" name="2011" queryTableFieldId="30" dataDxfId="90"/>
    <tableColumn id="70" uniqueName="70" name="2012" queryTableFieldId="31" dataDxfId="89"/>
    <tableColumn id="71" uniqueName="71" name="2013" queryTableFieldId="32" dataDxfId="88"/>
    <tableColumn id="72" uniqueName="72" name="2014" queryTableFieldId="33" dataDxfId="87"/>
    <tableColumn id="73" uniqueName="73" name="2015" queryTableFieldId="34" dataDxfId="86"/>
    <tableColumn id="74" uniqueName="74" name="2016" queryTableFieldId="35" dataDxfId="85"/>
    <tableColumn id="75" uniqueName="75" name="2017" queryTableFieldId="36" dataDxfId="84"/>
    <tableColumn id="76" uniqueName="76" name="2018" queryTableFieldId="37" dataDxfId="83"/>
    <tableColumn id="77" uniqueName="77" name="2019" queryTableFieldId="38" dataDxfId="82"/>
    <tableColumn id="78" uniqueName="78" name="2020" queryTableFieldId="39" dataDxfId="81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id="33" name="nlr_05_saeureeintreg" displayName="nlr_05_saeureeintreg" ref="A21:AM22" tableType="queryTable" totalsRowShown="0">
  <autoFilter ref="A21:AM22"/>
  <tableColumns count="39">
    <tableColumn id="40" uniqueName="40" name="Column1" queryTableFieldId="1" dataDxfId="80"/>
    <tableColumn id="41" uniqueName="41" name="1983" queryTableFieldId="2" dataDxfId="79"/>
    <tableColumn id="42" uniqueName="42" name="1984" queryTableFieldId="3" dataDxfId="78"/>
    <tableColumn id="43" uniqueName="43" name="1985" queryTableFieldId="4" dataDxfId="77"/>
    <tableColumn id="44" uniqueName="44" name="1986" queryTableFieldId="5" dataDxfId="76"/>
    <tableColumn id="45" uniqueName="45" name="1987" queryTableFieldId="6" dataDxfId="75"/>
    <tableColumn id="46" uniqueName="46" name="1988" queryTableFieldId="7" dataDxfId="74"/>
    <tableColumn id="47" uniqueName="47" name="1989" queryTableFieldId="8" dataDxfId="73"/>
    <tableColumn id="48" uniqueName="48" name="1990" queryTableFieldId="9" dataDxfId="72"/>
    <tableColumn id="49" uniqueName="49" name="1991" queryTableFieldId="10" dataDxfId="71"/>
    <tableColumn id="50" uniqueName="50" name="1992" queryTableFieldId="11" dataDxfId="70"/>
    <tableColumn id="51" uniqueName="51" name="1993" queryTableFieldId="12" dataDxfId="69"/>
    <tableColumn id="52" uniqueName="52" name="1994" queryTableFieldId="13" dataDxfId="68"/>
    <tableColumn id="53" uniqueName="53" name="1995" queryTableFieldId="14" dataDxfId="67"/>
    <tableColumn id="54" uniqueName="54" name="1996" queryTableFieldId="15" dataDxfId="66"/>
    <tableColumn id="55" uniqueName="55" name="1997" queryTableFieldId="16" dataDxfId="65"/>
    <tableColumn id="56" uniqueName="56" name="1998" queryTableFieldId="17" dataDxfId="64"/>
    <tableColumn id="57" uniqueName="57" name="1999" queryTableFieldId="18" dataDxfId="63"/>
    <tableColumn id="58" uniqueName="58" name="2000" queryTableFieldId="19" dataDxfId="62"/>
    <tableColumn id="59" uniqueName="59" name="2001" queryTableFieldId="20" dataDxfId="61"/>
    <tableColumn id="60" uniqueName="60" name="2002" queryTableFieldId="21" dataDxfId="60"/>
    <tableColumn id="61" uniqueName="61" name="2003" queryTableFieldId="22" dataDxfId="59"/>
    <tableColumn id="62" uniqueName="62" name="2004" queryTableFieldId="23" dataDxfId="58"/>
    <tableColumn id="63" uniqueName="63" name="2005" queryTableFieldId="24" dataDxfId="57"/>
    <tableColumn id="64" uniqueName="64" name="2006" queryTableFieldId="25" dataDxfId="56"/>
    <tableColumn id="65" uniqueName="65" name="2007" queryTableFieldId="26" dataDxfId="55"/>
    <tableColumn id="66" uniqueName="66" name="2008" queryTableFieldId="27" dataDxfId="54"/>
    <tableColumn id="67" uniqueName="67" name="2009" queryTableFieldId="28" dataDxfId="53"/>
    <tableColumn id="68" uniqueName="68" name="2010" queryTableFieldId="29" dataDxfId="52"/>
    <tableColumn id="69" uniqueName="69" name="2011" queryTableFieldId="30" dataDxfId="51"/>
    <tableColumn id="70" uniqueName="70" name="2012" queryTableFieldId="31" dataDxfId="50"/>
    <tableColumn id="71" uniqueName="71" name="2013" queryTableFieldId="32" dataDxfId="49"/>
    <tableColumn id="72" uniqueName="72" name="2014" queryTableFieldId="33" dataDxfId="48"/>
    <tableColumn id="73" uniqueName="73" name="2015" queryTableFieldId="34" dataDxfId="47"/>
    <tableColumn id="74" uniqueName="74" name="2016" queryTableFieldId="35" dataDxfId="46"/>
    <tableColumn id="75" uniqueName="75" name="2017" queryTableFieldId="36" dataDxfId="45"/>
    <tableColumn id="76" uniqueName="76" name="2018" queryTableFieldId="37" dataDxfId="44"/>
    <tableColumn id="77" uniqueName="77" name="2019" queryTableFieldId="38" dataDxfId="43"/>
    <tableColumn id="78" uniqueName="78" name="2020" queryTableFieldId="39" dataDxfId="4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5" name="uug_01_nox_emissionen" displayName="uug_01_nox_emissionen" ref="A21:H25" tableType="queryTable" totalsRowShown="0">
  <autoFilter ref="A21:H25"/>
  <tableColumns count="8">
    <tableColumn id="9" uniqueName="9" name="Column1" queryTableFieldId="1" dataDxfId="516"/>
    <tableColumn id="10" uniqueName="10" name="1996" queryTableFieldId="2" dataDxfId="515"/>
    <tableColumn id="11" uniqueName="11" name="2000" queryTableFieldId="3" dataDxfId="514"/>
    <tableColumn id="12" uniqueName="12" name="2004" queryTableFieldId="4" dataDxfId="513"/>
    <tableColumn id="13" uniqueName="13" name="2008" queryTableFieldId="5" dataDxfId="512"/>
    <tableColumn id="14" uniqueName="14" name="2012" queryTableFieldId="6" dataDxfId="511"/>
    <tableColumn id="15" uniqueName="15" name="2016" queryTableFieldId="7" dataDxfId="510"/>
    <tableColumn id="16" uniqueName="16" name="2020" queryTableFieldId="8" dataDxfId="509"/>
  </tableColumns>
  <tableStyleInfo name="TableStyleMedium7" showFirstColumn="0" showLastColumn="0" showRowStripes="1" showColumnStripes="0"/>
</table>
</file>

<file path=xl/tables/table20.xml><?xml version="1.0" encoding="utf-8"?>
<table xmlns="http://schemas.openxmlformats.org/spreadsheetml/2006/main" id="36" name="nlr_08_n_flaechenbilanz" displayName="nlr_08_n_flaechenbilanz" ref="A21:AB23" tableType="queryTable" totalsRowShown="0">
  <autoFilter ref="A21:AB23"/>
  <tableColumns count="28">
    <tableColumn id="29" uniqueName="29" name="Column1" queryTableFieldId="1" dataDxfId="41"/>
    <tableColumn id="30" uniqueName="30" name="1995" queryTableFieldId="2" dataDxfId="40"/>
    <tableColumn id="31" uniqueName="31" name="1996" queryTableFieldId="3" dataDxfId="39"/>
    <tableColumn id="32" uniqueName="32" name="1997" queryTableFieldId="4" dataDxfId="38"/>
    <tableColumn id="33" uniqueName="33" name="1998" queryTableFieldId="5" dataDxfId="37"/>
    <tableColumn id="34" uniqueName="34" name="1999" queryTableFieldId="6" dataDxfId="36"/>
    <tableColumn id="35" uniqueName="35" name="2000" queryTableFieldId="7" dataDxfId="35"/>
    <tableColumn id="36" uniqueName="36" name="2001" queryTableFieldId="8" dataDxfId="34"/>
    <tableColumn id="37" uniqueName="37" name="2002" queryTableFieldId="9" dataDxfId="33"/>
    <tableColumn id="38" uniqueName="38" name="2003" queryTableFieldId="10" dataDxfId="32"/>
    <tableColumn id="39" uniqueName="39" name="2004" queryTableFieldId="11" dataDxfId="31"/>
    <tableColumn id="40" uniqueName="40" name="2005" queryTableFieldId="12" dataDxfId="30"/>
    <tableColumn id="41" uniqueName="41" name="2006" queryTableFieldId="13" dataDxfId="29"/>
    <tableColumn id="42" uniqueName="42" name="2007" queryTableFieldId="14" dataDxfId="28"/>
    <tableColumn id="43" uniqueName="43" name="2008" queryTableFieldId="15" dataDxfId="27"/>
    <tableColumn id="44" uniqueName="44" name="2009" queryTableFieldId="16" dataDxfId="26"/>
    <tableColumn id="45" uniqueName="45" name="2010" queryTableFieldId="17" dataDxfId="25"/>
    <tableColumn id="46" uniqueName="46" name="2011" queryTableFieldId="18" dataDxfId="24"/>
    <tableColumn id="47" uniqueName="47" name="2012" queryTableFieldId="19" dataDxfId="23"/>
    <tableColumn id="48" uniqueName="48" name="2013" queryTableFieldId="20" dataDxfId="22"/>
    <tableColumn id="49" uniqueName="49" name="2014" queryTableFieldId="21" dataDxfId="21"/>
    <tableColumn id="50" uniqueName="50" name="2015" queryTableFieldId="22" dataDxfId="20"/>
    <tableColumn id="51" uniqueName="51" name="2016" queryTableFieldId="23" dataDxfId="19"/>
    <tableColumn id="52" uniqueName="52" name="2017" queryTableFieldId="24" dataDxfId="18"/>
    <tableColumn id="53" uniqueName="53" name="2018" queryTableFieldId="25" dataDxfId="17"/>
    <tableColumn id="54" uniqueName="54" name="2019" queryTableFieldId="26" dataDxfId="16"/>
    <tableColumn id="55" uniqueName="55" name="2020" queryTableFieldId="27" dataDxfId="15"/>
    <tableColumn id="56" uniqueName="56" name="2021" queryTableFieldId="28" dataDxfId="14"/>
  </tableColumns>
  <tableStyleInfo name="TableStyleMedium7" showFirstColumn="0" showLastColumn="0" showRowStripes="1" showColumnStripes="0"/>
</table>
</file>

<file path=xl/tables/table21.xml><?xml version="1.0" encoding="utf-8"?>
<table xmlns="http://schemas.openxmlformats.org/spreadsheetml/2006/main" id="37" name="nlr_09_hnv_flaechen" displayName="nlr_09_hnv_flaechen" ref="A21:N24" tableType="queryTable" totalsRowShown="0">
  <autoFilter ref="A21:N24"/>
  <tableColumns count="14">
    <tableColumn id="29" uniqueName="29" name="Column1" queryTableFieldId="1" dataDxfId="13"/>
    <tableColumn id="30" uniqueName="30" name="2009" queryTableFieldId="2" dataDxfId="12"/>
    <tableColumn id="31" uniqueName="31" name="2010" queryTableFieldId="3" dataDxfId="11"/>
    <tableColumn id="32" uniqueName="32" name="2011" queryTableFieldId="4" dataDxfId="10"/>
    <tableColumn id="33" uniqueName="33" name="2012" queryTableFieldId="5" dataDxfId="9"/>
    <tableColumn id="34" uniqueName="34" name="2013" queryTableFieldId="6" dataDxfId="8"/>
    <tableColumn id="35" uniqueName="35" name="2014" queryTableFieldId="7" dataDxfId="7"/>
    <tableColumn id="36" uniqueName="36" name="2015" queryTableFieldId="8" dataDxfId="6"/>
    <tableColumn id="37" uniqueName="37" name="2016" queryTableFieldId="9" dataDxfId="5"/>
    <tableColumn id="38" uniqueName="38" name="2017" queryTableFieldId="10" dataDxfId="4"/>
    <tableColumn id="39" uniqueName="39" name="2018" queryTableFieldId="11" dataDxfId="3"/>
    <tableColumn id="40" uniqueName="40" name="2019" queryTableFieldId="12" dataDxfId="2"/>
    <tableColumn id="41" uniqueName="41" name="2020" queryTableFieldId="13" dataDxfId="1"/>
    <tableColumn id="42" uniqueName="42" name="2021" queryTableFieldId="14" dataDxfId="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16" name="uug_02_no2_hintergrund" displayName="uug_02_no2_hintergrund" ref="A21:AH22" tableType="queryTable" totalsRowShown="0">
  <autoFilter ref="A21:AH22"/>
  <tableColumns count="34">
    <tableColumn id="35" uniqueName="35" name="Column1" queryTableFieldId="1" dataDxfId="476"/>
    <tableColumn id="36" uniqueName="36" name="1990" queryTableFieldId="2" dataDxfId="475"/>
    <tableColumn id="37" uniqueName="37" name="1991" queryTableFieldId="3" dataDxfId="474"/>
    <tableColumn id="38" uniqueName="38" name="1992" queryTableFieldId="4" dataDxfId="473"/>
    <tableColumn id="39" uniqueName="39" name="1993" queryTableFieldId="5" dataDxfId="472"/>
    <tableColumn id="40" uniqueName="40" name="1994" queryTableFieldId="6" dataDxfId="471"/>
    <tableColumn id="41" uniqueName="41" name="1995" queryTableFieldId="7" dataDxfId="470"/>
    <tableColumn id="42" uniqueName="42" name="1996" queryTableFieldId="8" dataDxfId="469"/>
    <tableColumn id="43" uniqueName="43" name="1997" queryTableFieldId="9" dataDxfId="468"/>
    <tableColumn id="44" uniqueName="44" name="1998" queryTableFieldId="10" dataDxfId="467"/>
    <tableColumn id="45" uniqueName="45" name="1999" queryTableFieldId="11" dataDxfId="466"/>
    <tableColumn id="46" uniqueName="46" name="2000" queryTableFieldId="12" dataDxfId="465"/>
    <tableColumn id="47" uniqueName="47" name="2001" queryTableFieldId="13" dataDxfId="464"/>
    <tableColumn id="48" uniqueName="48" name="2002" queryTableFieldId="14" dataDxfId="463"/>
    <tableColumn id="49" uniqueName="49" name="2003" queryTableFieldId="15" dataDxfId="462"/>
    <tableColumn id="50" uniqueName="50" name="2004" queryTableFieldId="16" dataDxfId="461"/>
    <tableColumn id="51" uniqueName="51" name="2005" queryTableFieldId="17" dataDxfId="460"/>
    <tableColumn id="52" uniqueName="52" name="2006" queryTableFieldId="18" dataDxfId="459"/>
    <tableColumn id="53" uniqueName="53" name="2007" queryTableFieldId="19" dataDxfId="458"/>
    <tableColumn id="54" uniqueName="54" name="2008" queryTableFieldId="20" dataDxfId="457"/>
    <tableColumn id="55" uniqueName="55" name="2009" queryTableFieldId="21" dataDxfId="456"/>
    <tableColumn id="56" uniqueName="56" name="2010" queryTableFieldId="22" dataDxfId="455"/>
    <tableColumn id="57" uniqueName="57" name="2011" queryTableFieldId="23" dataDxfId="454"/>
    <tableColumn id="58" uniqueName="58" name="2012" queryTableFieldId="24" dataDxfId="453"/>
    <tableColumn id="59" uniqueName="59" name="2013" queryTableFieldId="25" dataDxfId="452"/>
    <tableColumn id="60" uniqueName="60" name="2014" queryTableFieldId="26" dataDxfId="451"/>
    <tableColumn id="61" uniqueName="61" name="2015" queryTableFieldId="27" dataDxfId="450"/>
    <tableColumn id="62" uniqueName="62" name="2016" queryTableFieldId="28" dataDxfId="449"/>
    <tableColumn id="63" uniqueName="63" name="2017" queryTableFieldId="29" dataDxfId="448"/>
    <tableColumn id="64" uniqueName="64" name="2018" queryTableFieldId="30" dataDxfId="447"/>
    <tableColumn id="65" uniqueName="65" name="2019" queryTableFieldId="31" dataDxfId="446"/>
    <tableColumn id="66" uniqueName="66" name="2020" queryTableFieldId="32" dataDxfId="445"/>
    <tableColumn id="67" uniqueName="67" name="2021" queryTableFieldId="33" dataDxfId="444"/>
    <tableColumn id="68" uniqueName="68" name="2022" queryTableFieldId="34" dataDxfId="443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17" name="uug_07_feinstaubemissionen" displayName="uug_07_feinstaubemissionen" ref="A21:I28" tableType="queryTable" totalsRowShown="0">
  <autoFilter ref="A21:I28"/>
  <tableColumns count="9">
    <tableColumn id="10" uniqueName="10" name="Column1" queryTableFieldId="1" dataDxfId="508"/>
    <tableColumn id="11" uniqueName="11" name="Industrie   PM2.5" queryTableFieldId="2" dataDxfId="507"/>
    <tableColumn id="12" uniqueName="12" name=" Kleinfeuerungsanlagen   PM2.5" queryTableFieldId="3" dataDxfId="506"/>
    <tableColumn id="13" uniqueName="13" name=" Verkehr   PM2.5" queryTableFieldId="4" dataDxfId="505"/>
    <tableColumn id="14" uniqueName="14" name=" Landwirtschaft   PM2.5" queryTableFieldId="5" dataDxfId="504"/>
    <tableColumn id="15" uniqueName="15" name=" Industrie   PM10" queryTableFieldId="6" dataDxfId="503"/>
    <tableColumn id="16" uniqueName="16" name=" Kleinfeuerungsanlagen   PM10" queryTableFieldId="7" dataDxfId="502"/>
    <tableColumn id="17" uniqueName="17" name=" Verkehr   PM10" queryTableFieldId="8" dataDxfId="501"/>
    <tableColumn id="18" uniqueName="18" name=" Landwirtschaft   PM10" queryTableFieldId="9" dataDxfId="50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id="18" name="uug_03_pmx_hintergrund" displayName="uug_03_pmx_hintergrund" ref="A21:W23" tableType="queryTable" totalsRowShown="0">
  <autoFilter ref="A21:W23"/>
  <tableColumns count="23">
    <tableColumn id="24" uniqueName="24" name="Column1" queryTableFieldId="1" dataDxfId="499"/>
    <tableColumn id="25" uniqueName="25" name="2001" queryTableFieldId="2" dataDxfId="498"/>
    <tableColumn id="26" uniqueName="26" name="2002" queryTableFieldId="3" dataDxfId="497"/>
    <tableColumn id="27" uniqueName="27" name="2003" queryTableFieldId="4" dataDxfId="496"/>
    <tableColumn id="28" uniqueName="28" name="2004" queryTableFieldId="5" dataDxfId="495"/>
    <tableColumn id="29" uniqueName="29" name="2005" queryTableFieldId="6" dataDxfId="494"/>
    <tableColumn id="30" uniqueName="30" name="2006" queryTableFieldId="7" dataDxfId="493"/>
    <tableColumn id="31" uniqueName="31" name="2007" queryTableFieldId="8" dataDxfId="492"/>
    <tableColumn id="32" uniqueName="32" name="2008" queryTableFieldId="9" dataDxfId="491"/>
    <tableColumn id="33" uniqueName="33" name="2009" queryTableFieldId="10" dataDxfId="490"/>
    <tableColumn id="34" uniqueName="34" name="2010" queryTableFieldId="11" dataDxfId="489"/>
    <tableColumn id="35" uniqueName="35" name="2011" queryTableFieldId="12" dataDxfId="488"/>
    <tableColumn id="36" uniqueName="36" name="2012" queryTableFieldId="13" dataDxfId="487"/>
    <tableColumn id="37" uniqueName="37" name="2013" queryTableFieldId="14" dataDxfId="486"/>
    <tableColumn id="38" uniqueName="38" name="2014" queryTableFieldId="15" dataDxfId="485"/>
    <tableColumn id="39" uniqueName="39" name="2015" queryTableFieldId="16" dataDxfId="484"/>
    <tableColumn id="40" uniqueName="40" name="2016" queryTableFieldId="17" dataDxfId="483"/>
    <tableColumn id="41" uniqueName="41" name="2017" queryTableFieldId="18" dataDxfId="482"/>
    <tableColumn id="42" uniqueName="42" name="2018" queryTableFieldId="19" dataDxfId="481"/>
    <tableColumn id="43" uniqueName="43" name="2019" queryTableFieldId="20" dataDxfId="480"/>
    <tableColumn id="44" uniqueName="44" name="2020" queryTableFieldId="21" dataDxfId="479"/>
    <tableColumn id="45" uniqueName="45" name="2021" queryTableFieldId="22" dataDxfId="478"/>
    <tableColumn id="46" uniqueName="46" name="2022" queryTableFieldId="23" dataDxfId="477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19" name="uug_04_o3_hintergrund" displayName="uug_04_o3_hintergrund" ref="A21:AH22" tableType="queryTable" totalsRowShown="0">
  <autoFilter ref="A21:AH22"/>
  <tableColumns count="34">
    <tableColumn id="35" uniqueName="35" name="Column1" queryTableFieldId="1" dataDxfId="442"/>
    <tableColumn id="36" uniqueName="36" name="1990" queryTableFieldId="2" dataDxfId="441"/>
    <tableColumn id="37" uniqueName="37" name="1991" queryTableFieldId="3" dataDxfId="440"/>
    <tableColumn id="38" uniqueName="38" name="1992" queryTableFieldId="4" dataDxfId="439"/>
    <tableColumn id="39" uniqueName="39" name="1993" queryTableFieldId="5" dataDxfId="438"/>
    <tableColumn id="40" uniqueName="40" name="1994" queryTableFieldId="6" dataDxfId="437"/>
    <tableColumn id="41" uniqueName="41" name="1995" queryTableFieldId="7" dataDxfId="436"/>
    <tableColumn id="42" uniqueName="42" name="1996" queryTableFieldId="8" dataDxfId="435"/>
    <tableColumn id="43" uniqueName="43" name="1997" queryTableFieldId="9" dataDxfId="434"/>
    <tableColumn id="44" uniqueName="44" name="1998" queryTableFieldId="10" dataDxfId="433"/>
    <tableColumn id="45" uniqueName="45" name="1999" queryTableFieldId="11" dataDxfId="432"/>
    <tableColumn id="46" uniqueName="46" name="2000" queryTableFieldId="12" dataDxfId="431"/>
    <tableColumn id="47" uniqueName="47" name="2001" queryTableFieldId="13" dataDxfId="430"/>
    <tableColumn id="48" uniqueName="48" name="2002" queryTableFieldId="14" dataDxfId="429"/>
    <tableColumn id="49" uniqueName="49" name="2003" queryTableFieldId="15" dataDxfId="428"/>
    <tableColumn id="50" uniqueName="50" name="2004" queryTableFieldId="16" dataDxfId="427"/>
    <tableColumn id="51" uniqueName="51" name="2005" queryTableFieldId="17" dataDxfId="426"/>
    <tableColumn id="52" uniqueName="52" name="2006" queryTableFieldId="18" dataDxfId="425"/>
    <tableColumn id="53" uniqueName="53" name="2007" queryTableFieldId="19" dataDxfId="424"/>
    <tableColumn id="54" uniqueName="54" name="2008" queryTableFieldId="20" dataDxfId="423"/>
    <tableColumn id="55" uniqueName="55" name="2009" queryTableFieldId="21" dataDxfId="422"/>
    <tableColumn id="56" uniqueName="56" name="2010" queryTableFieldId="22" dataDxfId="421"/>
    <tableColumn id="57" uniqueName="57" name="2011" queryTableFieldId="23" dataDxfId="420"/>
    <tableColumn id="58" uniqueName="58" name="2012" queryTableFieldId="24" dataDxfId="419"/>
    <tableColumn id="59" uniqueName="59" name="2013" queryTableFieldId="25" dataDxfId="418"/>
    <tableColumn id="60" uniqueName="60" name="2014" queryTableFieldId="26" dataDxfId="417"/>
    <tableColumn id="61" uniqueName="61" name="2015" queryTableFieldId="27" dataDxfId="416"/>
    <tableColumn id="62" uniqueName="62" name="2016" queryTableFieldId="28" dataDxfId="415"/>
    <tableColumn id="63" uniqueName="63" name="2017" queryTableFieldId="29" dataDxfId="414"/>
    <tableColumn id="64" uniqueName="64" name="2018" queryTableFieldId="30" dataDxfId="413"/>
    <tableColumn id="65" uniqueName="65" name="2019" queryTableFieldId="31" dataDxfId="412"/>
    <tableColumn id="66" uniqueName="66" name="2020" queryTableFieldId="32" dataDxfId="411"/>
    <tableColumn id="67" uniqueName="67" name="2021" queryTableFieldId="33" dataDxfId="410"/>
    <tableColumn id="68" uniqueName="68" name="2022" queryTableFieldId="34" dataDxfId="409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id="20" name="uug_06_laerm_lden" displayName="uug_06_laerm_lden" ref="A21:F23" tableType="queryTable" totalsRowShown="0">
  <autoFilter ref="A21:F23"/>
  <tableColumns count="6">
    <tableColumn id="7" uniqueName="7" name="Column1" queryTableFieldId="1" dataDxfId="408"/>
    <tableColumn id="8" uniqueName="8" name="Straße" queryTableFieldId="2" dataDxfId="407"/>
    <tableColumn id="9" uniqueName="9" name="Bundesschienenwege" queryTableFieldId="3" dataDxfId="406"/>
    <tableColumn id="10" uniqueName="10" name="Sonstige Schienenwege" queryTableFieldId="4" dataDxfId="405"/>
    <tableColumn id="11" uniqueName="11" name="Fluglärm" queryTableFieldId="5" dataDxfId="404"/>
    <tableColumn id="12" uniqueName="12" name="Industrie" queryTableFieldId="6" dataDxfId="403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id="21" name="uug_05_laerm_lnight" displayName="uug_05_laerm_lnight" ref="A21:F23" tableType="queryTable" totalsRowShown="0">
  <autoFilter ref="A21:F23"/>
  <tableColumns count="6">
    <tableColumn id="7" uniqueName="7" name="Column1" queryTableFieldId="1" dataDxfId="402"/>
    <tableColumn id="8" uniqueName="8" name="Straße" queryTableFieldId="2" dataDxfId="401"/>
    <tableColumn id="9" uniqueName="9" name="Bundesschienenwege" queryTableFieldId="3" dataDxfId="400"/>
    <tableColumn id="10" uniqueName="10" name="Sonstige Schienenwege" queryTableFieldId="4" dataDxfId="399"/>
    <tableColumn id="11" uniqueName="11" name="Fluglärm" queryTableFieldId="5" dataDxfId="398"/>
    <tableColumn id="12" uniqueName="12" name="Industrie" queryTableFieldId="6" dataDxfId="397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id="22" name="abw_01_haushaltsabfall" displayName="abw_01_haushaltsabfall" ref="A21:AB24" tableType="queryTable" totalsRowShown="0">
  <autoFilter ref="A21:AB24"/>
  <tableColumns count="28">
    <tableColumn id="29" uniqueName="29" name="Column1" queryTableFieldId="1" dataDxfId="396"/>
    <tableColumn id="30" uniqueName="30" name="1995" queryTableFieldId="2" dataDxfId="395"/>
    <tableColumn id="31" uniqueName="31" name="1996" queryTableFieldId="3" dataDxfId="394"/>
    <tableColumn id="32" uniqueName="32" name="1997" queryTableFieldId="4" dataDxfId="393"/>
    <tableColumn id="33" uniqueName="33" name="1998" queryTableFieldId="5" dataDxfId="392"/>
    <tableColumn id="34" uniqueName="34" name="1999" queryTableFieldId="6" dataDxfId="391"/>
    <tableColumn id="35" uniqueName="35" name="2000" queryTableFieldId="7" dataDxfId="390"/>
    <tableColumn id="36" uniqueName="36" name="2001" queryTableFieldId="8" dataDxfId="389"/>
    <tableColumn id="37" uniqueName="37" name="2002" queryTableFieldId="9" dataDxfId="388"/>
    <tableColumn id="38" uniqueName="38" name="2003" queryTableFieldId="10" dataDxfId="387"/>
    <tableColumn id="39" uniqueName="39" name="2004" queryTableFieldId="11" dataDxfId="386"/>
    <tableColumn id="40" uniqueName="40" name="2005" queryTableFieldId="12" dataDxfId="385"/>
    <tableColumn id="41" uniqueName="41" name="2006" queryTableFieldId="13" dataDxfId="384"/>
    <tableColumn id="42" uniqueName="42" name="2007" queryTableFieldId="14" dataDxfId="383"/>
    <tableColumn id="43" uniqueName="43" name="2008" queryTableFieldId="15" dataDxfId="382"/>
    <tableColumn id="44" uniqueName="44" name="2009" queryTableFieldId="16" dataDxfId="381"/>
    <tableColumn id="45" uniqueName="45" name="2010" queryTableFieldId="17" dataDxfId="380"/>
    <tableColumn id="46" uniqueName="46" name="2011" queryTableFieldId="18" dataDxfId="379"/>
    <tableColumn id="47" uniqueName="47" name="2012" queryTableFieldId="19" dataDxfId="378"/>
    <tableColumn id="48" uniqueName="48" name="2013" queryTableFieldId="20" dataDxfId="377"/>
    <tableColumn id="49" uniqueName="49" name="2014" queryTableFieldId="21" dataDxfId="376"/>
    <tableColumn id="50" uniqueName="50" name="2015" queryTableFieldId="22" dataDxfId="375"/>
    <tableColumn id="51" uniqueName="51" name="2016" queryTableFieldId="23" dataDxfId="374"/>
    <tableColumn id="52" uniqueName="52" name="2017" queryTableFieldId="24" dataDxfId="373"/>
    <tableColumn id="53" uniqueName="53" name="2018" queryTableFieldId="25" dataDxfId="372"/>
    <tableColumn id="54" uniqueName="54" name="2019" queryTableFieldId="26" dataDxfId="371"/>
    <tableColumn id="55" uniqueName="55" name="2020" queryTableFieldId="27" dataDxfId="370"/>
    <tableColumn id="56" uniqueName="56" name="2021" queryTableFieldId="28" dataDxfId="369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0.xml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drawing" Target="../drawings/drawing16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22"/>
  <sheetViews>
    <sheetView tabSelected="1" workbookViewId="0">
      <pane ySplit="1" topLeftCell="A5" activePane="bottomLeft" state="frozen"/>
      <selection pane="bottomLeft"/>
    </sheetView>
  </sheetViews>
  <sheetFormatPr baseColWidth="10" defaultRowHeight="15" x14ac:dyDescent="0.25"/>
  <cols>
    <col min="1" max="1" width="66.140625" customWidth="1"/>
    <col min="5" max="5" width="39.140625" customWidth="1"/>
    <col min="6" max="6" width="35.140625" bestFit="1" customWidth="1"/>
    <col min="7" max="10" width="14.28515625" style="23" bestFit="1" customWidth="1"/>
    <col min="11" max="11" width="11.42578125" style="23"/>
  </cols>
  <sheetData>
    <row r="1" spans="1:11" s="13" customFormat="1" ht="26.25" customHeight="1" x14ac:dyDescent="0.25">
      <c r="A1" s="15" t="s">
        <v>42</v>
      </c>
      <c r="B1" s="15" t="s">
        <v>41</v>
      </c>
      <c r="C1" s="15" t="s">
        <v>213</v>
      </c>
      <c r="D1" s="15"/>
      <c r="E1" s="15" t="s">
        <v>198</v>
      </c>
      <c r="F1" s="15" t="s">
        <v>215</v>
      </c>
      <c r="G1" s="24" t="s">
        <v>216</v>
      </c>
      <c r="H1" s="24" t="s">
        <v>217</v>
      </c>
      <c r="I1" s="24" t="s">
        <v>218</v>
      </c>
      <c r="J1" s="24" t="s">
        <v>219</v>
      </c>
      <c r="K1" s="21"/>
    </row>
    <row r="2" spans="1:11" s="14" customFormat="1" ht="22.5" customHeight="1" x14ac:dyDescent="0.25">
      <c r="A2" s="17" t="str">
        <f>Treibhausgase!B1</f>
        <v>Treibhausgase</v>
      </c>
      <c r="B2" s="18">
        <f>Treibhausgase!A5</f>
        <v>44860</v>
      </c>
      <c r="C2" s="20"/>
      <c r="D2" s="19"/>
      <c r="E2" s="16" t="s">
        <v>152</v>
      </c>
      <c r="F2" s="16" t="s">
        <v>178</v>
      </c>
      <c r="G2" s="19"/>
      <c r="H2" s="19"/>
      <c r="I2" s="19"/>
      <c r="J2" s="19"/>
      <c r="K2" s="22"/>
    </row>
    <row r="3" spans="1:11" s="14" customFormat="1" ht="22.5" customHeight="1" x14ac:dyDescent="0.25">
      <c r="A3" s="17" t="str">
        <f>Stickstoffdioxidemissionen!B1</f>
        <v>Stickstoffdioxidemissionen</v>
      </c>
      <c r="B3" s="18">
        <f>Stickstoffdioxidemissionen!A5</f>
        <v>44761</v>
      </c>
      <c r="C3" s="19"/>
      <c r="D3" s="19"/>
      <c r="E3" s="16" t="s">
        <v>153</v>
      </c>
      <c r="F3" s="16" t="s">
        <v>179</v>
      </c>
      <c r="G3" s="19"/>
      <c r="H3" s="19"/>
      <c r="I3" s="19"/>
      <c r="J3" s="19"/>
      <c r="K3" s="22"/>
    </row>
    <row r="4" spans="1:11" s="14" customFormat="1" ht="22.5" customHeight="1" x14ac:dyDescent="0.25">
      <c r="A4" s="17" t="str">
        <f>'NO2-Kontentration HG'!B1</f>
        <v>Stickstoffdioxidkonzentration im städtischen Hintergrund</v>
      </c>
      <c r="B4" s="18">
        <f>'NO2-Kontentration HG'!A5</f>
        <v>44860</v>
      </c>
      <c r="C4" s="20"/>
      <c r="D4" s="19"/>
      <c r="E4" s="16" t="s">
        <v>154</v>
      </c>
      <c r="F4" s="16" t="s">
        <v>180</v>
      </c>
      <c r="G4" s="19"/>
      <c r="H4" s="19"/>
      <c r="I4" s="19"/>
      <c r="J4" s="19"/>
      <c r="K4" s="22"/>
    </row>
    <row r="5" spans="1:11" s="14" customFormat="1" ht="22.5" customHeight="1" x14ac:dyDescent="0.25">
      <c r="A5" s="17" t="str">
        <f>Feinstaubemissionen!B1</f>
        <v>Feinstaubemissionen</v>
      </c>
      <c r="B5" s="18">
        <f>Feinstaubemissionen!A5</f>
        <v>44761</v>
      </c>
      <c r="C5" s="19"/>
      <c r="D5" s="19"/>
      <c r="E5" s="16" t="s">
        <v>200</v>
      </c>
      <c r="F5" s="16" t="s">
        <v>201</v>
      </c>
      <c r="G5" s="19"/>
      <c r="H5" s="19"/>
      <c r="I5" s="19"/>
      <c r="J5" s="19"/>
      <c r="K5" s="22"/>
    </row>
    <row r="6" spans="1:11" s="14" customFormat="1" ht="22.5" customHeight="1" x14ac:dyDescent="0.25">
      <c r="A6" s="17" t="str">
        <f>'Feinstaubkonz. PM 2.5 10'!B1</f>
        <v>Feinstaubkonzentration PM10 / PM2.5 im städtischen Hintergrund</v>
      </c>
      <c r="B6" s="18">
        <f>'Feinstaubkonz. PM 2.5 10'!A5</f>
        <v>44860</v>
      </c>
      <c r="C6" s="20"/>
      <c r="D6" s="19"/>
      <c r="E6" s="16" t="s">
        <v>155</v>
      </c>
      <c r="F6" s="16" t="s">
        <v>181</v>
      </c>
      <c r="G6" s="19"/>
      <c r="H6" s="19"/>
      <c r="I6" s="19"/>
      <c r="J6" s="19"/>
      <c r="K6" s="22"/>
    </row>
    <row r="7" spans="1:11" s="14" customFormat="1" ht="22.5" customHeight="1" x14ac:dyDescent="0.25">
      <c r="A7" s="17" t="str">
        <f>'Ozonkonzentration HG'!B1</f>
        <v>Ozonkonzentration im städtischen Hintergrund</v>
      </c>
      <c r="B7" s="18">
        <f>'Ozonkonzentration HG'!A5</f>
        <v>44860</v>
      </c>
      <c r="C7" s="20"/>
      <c r="D7" s="19"/>
      <c r="E7" s="16" t="s">
        <v>157</v>
      </c>
      <c r="F7" s="16" t="s">
        <v>182</v>
      </c>
      <c r="G7" s="19"/>
      <c r="H7" s="19"/>
      <c r="I7" s="19"/>
      <c r="J7" s="19"/>
      <c r="K7" s="22"/>
    </row>
    <row r="8" spans="1:11" s="14" customFormat="1" ht="22.5" customHeight="1" x14ac:dyDescent="0.25">
      <c r="A8" s="17" t="str">
        <f>'Lärmbelastung Lnight'!B1</f>
        <v>Lärmbelastung Lnight</v>
      </c>
      <c r="B8" s="18">
        <f>'Lärmbelastung Lnight'!A5</f>
        <v>44614</v>
      </c>
      <c r="C8" s="19"/>
      <c r="D8" s="19"/>
      <c r="E8" s="16" t="s">
        <v>158</v>
      </c>
      <c r="F8" s="16" t="s">
        <v>183</v>
      </c>
      <c r="G8" s="19"/>
      <c r="H8" s="19"/>
      <c r="I8" s="19"/>
      <c r="J8" s="19"/>
      <c r="K8" s="22"/>
    </row>
    <row r="9" spans="1:11" s="14" customFormat="1" ht="22.5" customHeight="1" x14ac:dyDescent="0.25">
      <c r="A9" s="17" t="str">
        <f>'Lärmbelastung Lden'!B1</f>
        <v>Lärmbelastung Lden</v>
      </c>
      <c r="B9" s="18">
        <f>'Lärmbelastung Lden'!A5</f>
        <v>44614</v>
      </c>
      <c r="C9" s="19"/>
      <c r="D9" s="19"/>
      <c r="E9" s="16" t="s">
        <v>156</v>
      </c>
      <c r="F9" s="16" t="s">
        <v>184</v>
      </c>
      <c r="G9" s="19"/>
      <c r="H9" s="19"/>
      <c r="I9" s="19"/>
      <c r="J9" s="19"/>
      <c r="K9" s="22"/>
    </row>
    <row r="10" spans="1:11" s="14" customFormat="1" ht="22.5" customHeight="1" x14ac:dyDescent="0.25">
      <c r="A10" s="17" t="str">
        <f>'HH-Abfälle'!B1</f>
        <v>Haushaltsabfälle</v>
      </c>
      <c r="B10" s="18">
        <f>'HH-Abfälle'!A5</f>
        <v>44942</v>
      </c>
      <c r="C10" s="20"/>
      <c r="D10" s="19"/>
      <c r="E10" s="16" t="s">
        <v>159</v>
      </c>
      <c r="F10" s="16" t="s">
        <v>185</v>
      </c>
      <c r="G10" s="19"/>
      <c r="H10" s="19"/>
      <c r="I10" s="19"/>
      <c r="J10" s="19"/>
      <c r="K10" s="22"/>
    </row>
    <row r="11" spans="1:11" s="14" customFormat="1" ht="22.5" customHeight="1" x14ac:dyDescent="0.25">
      <c r="A11" s="17" t="str">
        <f>Recyclingqote!B1</f>
        <v>Recyclingquote</v>
      </c>
      <c r="B11" s="18">
        <f>Recyclingqote!A5</f>
        <v>44860</v>
      </c>
      <c r="C11" s="20"/>
      <c r="D11" s="19"/>
      <c r="E11" s="16" t="s">
        <v>160</v>
      </c>
      <c r="F11" s="16" t="s">
        <v>186</v>
      </c>
      <c r="G11" s="19"/>
      <c r="H11" s="19"/>
      <c r="I11" s="19"/>
      <c r="J11" s="19"/>
      <c r="K11" s="22"/>
    </row>
    <row r="12" spans="1:11" s="14" customFormat="1" ht="22.5" customHeight="1" x14ac:dyDescent="0.25">
      <c r="A12" s="17" t="str">
        <f>Flächenverbrauch!B1</f>
        <v>Flächenverbrauch</v>
      </c>
      <c r="B12" s="18">
        <f>Flächenverbrauch!A5</f>
        <v>44860</v>
      </c>
      <c r="C12" s="19"/>
      <c r="D12" s="19"/>
      <c r="E12" s="16" t="s">
        <v>161</v>
      </c>
      <c r="F12" s="16" t="s">
        <v>187</v>
      </c>
      <c r="G12" s="19"/>
      <c r="H12" s="19"/>
      <c r="I12" s="19"/>
      <c r="J12" s="19"/>
      <c r="K12" s="22"/>
    </row>
    <row r="13" spans="1:11" s="14" customFormat="1" ht="22.5" customHeight="1" x14ac:dyDescent="0.25">
      <c r="A13" s="17" t="str">
        <f>Siedlungsfläche!B1</f>
        <v>Siedlungsfläche</v>
      </c>
      <c r="B13" s="18">
        <f>Siedlungsfläche!A5</f>
        <v>44860</v>
      </c>
      <c r="C13" s="19"/>
      <c r="D13" s="19"/>
      <c r="E13" s="16" t="s">
        <v>162</v>
      </c>
      <c r="F13" s="16" t="s">
        <v>188</v>
      </c>
      <c r="G13" s="19"/>
      <c r="H13" s="19"/>
      <c r="I13" s="19"/>
      <c r="J13" s="19"/>
      <c r="K13" s="22"/>
    </row>
    <row r="14" spans="1:11" s="14" customFormat="1" ht="22.5" customHeight="1" x14ac:dyDescent="0.25">
      <c r="A14" s="17" t="str">
        <f>Schwermetalleintrag!B1</f>
        <v>Schwermetalleintrag an ländlichen Stationen</v>
      </c>
      <c r="B14" s="18">
        <f>Schwermetalleintrag!A5</f>
        <v>44860</v>
      </c>
      <c r="C14" s="20"/>
      <c r="D14" s="19"/>
      <c r="E14" s="16" t="s">
        <v>163</v>
      </c>
      <c r="F14" s="16" t="s">
        <v>189</v>
      </c>
      <c r="G14" s="19"/>
      <c r="H14" s="19"/>
      <c r="I14" s="19"/>
      <c r="J14" s="19"/>
      <c r="K14" s="22"/>
    </row>
    <row r="15" spans="1:11" s="14" customFormat="1" ht="22.5" customHeight="1" x14ac:dyDescent="0.25">
      <c r="A15" s="17" t="str">
        <f>Fließgewässerzustand!B1</f>
        <v>Ökologischer Zustand der oberirdischen Fließgewässer</v>
      </c>
      <c r="B15" s="18">
        <f>Fließgewässerzustand!A5</f>
        <v>44605</v>
      </c>
      <c r="C15" s="19"/>
      <c r="D15" s="19"/>
      <c r="E15" s="16" t="s">
        <v>164</v>
      </c>
      <c r="F15" s="16" t="s">
        <v>190</v>
      </c>
      <c r="G15" s="19"/>
      <c r="H15" s="19"/>
      <c r="I15" s="19"/>
      <c r="J15" s="19"/>
      <c r="K15" s="22"/>
    </row>
    <row r="16" spans="1:11" s="14" customFormat="1" ht="22.5" customHeight="1" x14ac:dyDescent="0.25">
      <c r="A16" s="17" t="str">
        <f>'Nitrat GW'!B1</f>
        <v>Nitratkonzentration im Grundwasser</v>
      </c>
      <c r="B16" s="18">
        <f>'Nitrat GW'!A5</f>
        <v>44860</v>
      </c>
      <c r="C16" s="20"/>
      <c r="D16" s="19"/>
      <c r="E16" s="16" t="s">
        <v>165</v>
      </c>
      <c r="F16" s="16" t="s">
        <v>191</v>
      </c>
      <c r="G16" s="19"/>
      <c r="H16" s="19"/>
      <c r="I16" s="19"/>
      <c r="J16" s="19"/>
      <c r="K16" s="22"/>
    </row>
    <row r="17" spans="1:11" s="14" customFormat="1" ht="22.5" customHeight="1" x14ac:dyDescent="0.25">
      <c r="A17" s="17" t="str">
        <f>'Gefärdete Arten'!B1</f>
        <v>Gefährdete Arten</v>
      </c>
      <c r="B17" s="18">
        <f>'Gefärdete Arten'!A5</f>
        <v>44605</v>
      </c>
      <c r="C17" s="19"/>
      <c r="D17" s="19"/>
      <c r="E17" s="16" t="s">
        <v>166</v>
      </c>
      <c r="F17" s="16" t="s">
        <v>192</v>
      </c>
      <c r="G17" s="19"/>
      <c r="H17" s="19"/>
      <c r="I17" s="19"/>
      <c r="J17" s="19"/>
      <c r="K17" s="22"/>
    </row>
    <row r="18" spans="1:11" s="14" customFormat="1" ht="22.5" customHeight="1" x14ac:dyDescent="0.25">
      <c r="A18" s="17" t="str">
        <f>Naturschutzflächen!B1</f>
        <v>Naturschutzflächen</v>
      </c>
      <c r="B18" s="18">
        <f>Naturschutzflächen!A5</f>
        <v>44656</v>
      </c>
      <c r="C18" s="19"/>
      <c r="D18" s="19"/>
      <c r="E18" s="16" t="s">
        <v>167</v>
      </c>
      <c r="F18" s="16" t="s">
        <v>193</v>
      </c>
      <c r="G18" s="19"/>
      <c r="H18" s="19"/>
      <c r="I18" s="19"/>
      <c r="J18" s="19"/>
      <c r="K18" s="22"/>
    </row>
    <row r="19" spans="1:11" s="14" customFormat="1" ht="22.5" customHeight="1" x14ac:dyDescent="0.25">
      <c r="A19" s="17" t="str">
        <f>Stickstoffeintrag!B1</f>
        <v>Stickstoffeintrag</v>
      </c>
      <c r="B19" s="18">
        <f>Stickstoffeintrag!A5</f>
        <v>44656</v>
      </c>
      <c r="C19" s="19"/>
      <c r="D19" s="19"/>
      <c r="E19" s="16" t="s">
        <v>168</v>
      </c>
      <c r="F19" s="16" t="s">
        <v>194</v>
      </c>
      <c r="G19" s="19"/>
      <c r="H19" s="19"/>
      <c r="I19" s="19"/>
      <c r="J19" s="19"/>
      <c r="K19" s="22"/>
    </row>
    <row r="20" spans="1:11" s="14" customFormat="1" ht="22.5" customHeight="1" x14ac:dyDescent="0.25">
      <c r="A20" s="17" t="str">
        <f>Säureeintrag!B1</f>
        <v>Säureeintrag</v>
      </c>
      <c r="B20" s="18">
        <f>Säureeintrag!A5</f>
        <v>44656</v>
      </c>
      <c r="C20" s="19"/>
      <c r="D20" s="19"/>
      <c r="E20" s="16" t="s">
        <v>169</v>
      </c>
      <c r="F20" s="16" t="s">
        <v>195</v>
      </c>
      <c r="G20" s="19"/>
      <c r="H20" s="19"/>
      <c r="I20" s="19"/>
      <c r="J20" s="19"/>
      <c r="K20" s="22"/>
    </row>
    <row r="21" spans="1:11" s="14" customFormat="1" ht="22.5" customHeight="1" x14ac:dyDescent="0.25">
      <c r="A21" s="17" t="str">
        <f>'N-Flächenbilanz'!B1</f>
        <v>Stickstoff-Flächenbilanz</v>
      </c>
      <c r="B21" s="18">
        <f>'N-Flächenbilanz'!A5</f>
        <v>44860</v>
      </c>
      <c r="C21" s="20"/>
      <c r="D21" s="19"/>
      <c r="E21" s="16" t="s">
        <v>170</v>
      </c>
      <c r="F21" s="16" t="s">
        <v>196</v>
      </c>
      <c r="G21" s="19"/>
      <c r="H21" s="19"/>
      <c r="I21" s="19"/>
      <c r="J21" s="19"/>
      <c r="K21" s="22"/>
    </row>
    <row r="22" spans="1:11" s="14" customFormat="1" ht="22.5" customHeight="1" x14ac:dyDescent="0.25">
      <c r="A22" s="17" t="str">
        <f>'HNV-Farmland'!B1</f>
        <v>Landwirtschaftsflächen mit hohem Naturwert (HNV)</v>
      </c>
      <c r="B22" s="18">
        <f>'HNV-Farmland'!A5</f>
        <v>44860</v>
      </c>
      <c r="C22" s="20"/>
      <c r="D22" s="19"/>
      <c r="E22" s="16" t="s">
        <v>171</v>
      </c>
      <c r="F22" s="16" t="s">
        <v>197</v>
      </c>
      <c r="G22" s="19"/>
      <c r="H22" s="19"/>
      <c r="I22" s="19"/>
      <c r="J22" s="19"/>
      <c r="K22" s="22"/>
    </row>
  </sheetData>
  <sheetProtection formatCells="0" formatColumns="0" formatRows="0" insertColumns="0" insertRows="0" insertHyperlinks="0" autoFilter="0"/>
  <autoFilter ref="A1:C22"/>
  <hyperlinks>
    <hyperlink ref="A2" location="Treibhausgase!A1" display="Treibhausgase"/>
    <hyperlink ref="A3" location="Stickstoffdioxidemissionen!A1" display="Stickstoffdioxidemissionen"/>
    <hyperlink ref="A4" location="'NO2-Kontentration HG'!A1" display="Stickstoffdioxidkonzentration im städtischen Hintergrund"/>
    <hyperlink ref="A5" location="Feinstaubemissionen!A1" display="Feinstaubemissionen"/>
    <hyperlink ref="A6" location="'Feinstaubkonz. PM 2.5 10'!A1" display="Feinstaubkonzentration PM10 / PM2.5 im städtischen Hintergrund"/>
    <hyperlink ref="A7" location="'Ozonkonzentration HG'!A1" display="Ozonkonzentration im städtischen Hintergrund"/>
    <hyperlink ref="A8" location="'Lärmbelastung Lnight'!A1" display="Lärmbelastung Lnight"/>
    <hyperlink ref="A9" location="'Lärmbelastung Lden'!A1" display="Lärmbelastung Lden"/>
    <hyperlink ref="A10" location="'HH-Abfälle'!A1" display="Haushaltsabfälle"/>
    <hyperlink ref="A11" location="Recyclingqote!A1" display="Recyclingquote"/>
    <hyperlink ref="A12" location="Flächenverbrauch!A1" display="Flächenverbrauch"/>
    <hyperlink ref="A13" location="Siedlungsfläche!A1" display="Siedlungsfläche"/>
    <hyperlink ref="A14" location="Schwermetalleintrag!A1" display="Schwermetalleintrag an ländlichen Stationen"/>
    <hyperlink ref="A15" location="Fließgewässerzustand!A1" display="Ökologischer Zustand der oberirdischen Fließgewässer"/>
    <hyperlink ref="A16" location="'Nitrat GW'!A1" display="Nitratkonzentration im Grundwasser"/>
    <hyperlink ref="A17" location="'Gefärdete Arten'!A1" display="Gefährdete Arten"/>
    <hyperlink ref="A18" location="Naturschutzflächen!A1" display="Naturschutzflächen"/>
    <hyperlink ref="A19" location="Stickstoffeintrag!A1" display="Stickstoffeintrag"/>
    <hyperlink ref="A20" location="Säureeintrag!A1" display="Säureeintrag"/>
    <hyperlink ref="A21" location="'N-Flächenbilanz'!A1" display="Stickstoff-Flächenbilanz"/>
    <hyperlink ref="A22" location="'HNV-Farmland'!A1" display="Landwirtschaftsflächen mit hohem Naturwert (HNV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F23"/>
  <sheetViews>
    <sheetView workbookViewId="0">
      <selection activeCell="A21" sqref="A21:F23"/>
    </sheetView>
  </sheetViews>
  <sheetFormatPr baseColWidth="10" defaultRowHeight="15" x14ac:dyDescent="0.25"/>
  <cols>
    <col min="1" max="1" width="19.140625" customWidth="1"/>
    <col min="2" max="2" width="9" customWidth="1"/>
    <col min="3" max="3" width="22.85546875" bestFit="1" customWidth="1"/>
    <col min="4" max="4" width="24.5703125" bestFit="1" customWidth="1"/>
    <col min="5" max="5" width="11" bestFit="1" customWidth="1"/>
    <col min="6" max="6" width="11.28515625" bestFit="1" customWidth="1"/>
  </cols>
  <sheetData>
    <row r="1" spans="1:6" ht="21" x14ac:dyDescent="0.35">
      <c r="A1" s="10" t="s">
        <v>212</v>
      </c>
      <c r="B1" s="11" t="s">
        <v>47</v>
      </c>
    </row>
    <row r="2" spans="1:6" x14ac:dyDescent="0.25">
      <c r="A2" t="s">
        <v>172</v>
      </c>
      <c r="B2" t="s">
        <v>7</v>
      </c>
    </row>
    <row r="3" spans="1:6" x14ac:dyDescent="0.25">
      <c r="A3" t="s">
        <v>173</v>
      </c>
      <c r="B3">
        <v>0</v>
      </c>
    </row>
    <row r="4" spans="1:6" x14ac:dyDescent="0.25">
      <c r="A4" t="s">
        <v>41</v>
      </c>
    </row>
    <row r="5" spans="1:6" ht="15.75" x14ac:dyDescent="0.25">
      <c r="A5" s="26">
        <v>44614</v>
      </c>
    </row>
    <row r="7" spans="1:6" x14ac:dyDescent="0.25">
      <c r="B7" t="s">
        <v>8</v>
      </c>
      <c r="C7" t="s">
        <v>9</v>
      </c>
      <c r="D7" t="s">
        <v>10</v>
      </c>
      <c r="E7" t="s">
        <v>11</v>
      </c>
      <c r="F7" t="s">
        <v>12</v>
      </c>
    </row>
    <row r="8" spans="1:6" s="4" customFormat="1" x14ac:dyDescent="0.25">
      <c r="A8" s="4" t="s">
        <v>13</v>
      </c>
      <c r="B8" s="4">
        <f>IFERROR(B22/1,"")</f>
        <v>722200</v>
      </c>
      <c r="C8" s="4">
        <f t="shared" ref="C8:F8" si="0">IFERROR(C22/1,"")</f>
        <v>273000</v>
      </c>
      <c r="D8" s="4">
        <f t="shared" si="0"/>
        <v>87500</v>
      </c>
      <c r="E8" s="4">
        <f t="shared" si="0"/>
        <v>5600</v>
      </c>
      <c r="F8" s="4">
        <f t="shared" si="0"/>
        <v>1700</v>
      </c>
    </row>
    <row r="9" spans="1:6" s="4" customFormat="1" x14ac:dyDescent="0.25">
      <c r="A9" s="4" t="s">
        <v>14</v>
      </c>
      <c r="B9" s="4">
        <f>IFERROR(B23/1,"")</f>
        <v>159400</v>
      </c>
      <c r="C9" s="4">
        <f t="shared" ref="C9:F9" si="1">IFERROR(C23/1,"")</f>
        <v>194800</v>
      </c>
      <c r="D9" s="4">
        <f t="shared" si="1"/>
        <v>2400</v>
      </c>
      <c r="E9" s="4">
        <f t="shared" si="1"/>
        <v>7600</v>
      </c>
      <c r="F9" s="4">
        <f t="shared" si="1"/>
        <v>0</v>
      </c>
    </row>
    <row r="21" spans="1:6" x14ac:dyDescent="0.25">
      <c r="A21" s="25" t="s">
        <v>224</v>
      </c>
      <c r="B21" s="25" t="s">
        <v>8</v>
      </c>
      <c r="C21" s="25" t="s">
        <v>9</v>
      </c>
      <c r="D21" s="25" t="s">
        <v>10</v>
      </c>
      <c r="E21" s="25" t="s">
        <v>11</v>
      </c>
      <c r="F21" s="25" t="s">
        <v>12</v>
      </c>
    </row>
    <row r="22" spans="1:6" x14ac:dyDescent="0.25">
      <c r="A22" s="25" t="s">
        <v>13</v>
      </c>
      <c r="B22" s="25" t="s">
        <v>492</v>
      </c>
      <c r="C22" s="25" t="s">
        <v>493</v>
      </c>
      <c r="D22" s="25" t="s">
        <v>494</v>
      </c>
      <c r="E22" s="25" t="s">
        <v>495</v>
      </c>
      <c r="F22" s="25" t="s">
        <v>496</v>
      </c>
    </row>
    <row r="23" spans="1:6" x14ac:dyDescent="0.25">
      <c r="A23" s="25" t="s">
        <v>14</v>
      </c>
      <c r="B23" s="25" t="s">
        <v>497</v>
      </c>
      <c r="C23" s="25" t="s">
        <v>498</v>
      </c>
      <c r="D23" s="25" t="s">
        <v>499</v>
      </c>
      <c r="E23" s="25" t="s">
        <v>500</v>
      </c>
      <c r="F23" s="25" t="s">
        <v>354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B24"/>
  <sheetViews>
    <sheetView topLeftCell="B1" workbookViewId="0">
      <selection activeCell="A21" sqref="A21:AB24"/>
    </sheetView>
  </sheetViews>
  <sheetFormatPr baseColWidth="10" defaultRowHeight="15" x14ac:dyDescent="0.25"/>
  <cols>
    <col min="1" max="1" width="43.42578125" customWidth="1"/>
    <col min="2" max="28" width="7.28515625" customWidth="1"/>
    <col min="29" max="40" width="5.28515625" customWidth="1"/>
  </cols>
  <sheetData>
    <row r="1" spans="1:28" ht="21" x14ac:dyDescent="0.35">
      <c r="A1" s="10" t="s">
        <v>212</v>
      </c>
      <c r="B1" s="11" t="s">
        <v>49</v>
      </c>
    </row>
    <row r="2" spans="1:28" x14ac:dyDescent="0.25">
      <c r="A2" t="s">
        <v>172</v>
      </c>
      <c r="B2" t="s">
        <v>15</v>
      </c>
    </row>
    <row r="3" spans="1:28" x14ac:dyDescent="0.25">
      <c r="A3" t="s">
        <v>173</v>
      </c>
      <c r="B3">
        <v>0</v>
      </c>
    </row>
    <row r="4" spans="1:28" x14ac:dyDescent="0.25">
      <c r="A4" t="s">
        <v>41</v>
      </c>
    </row>
    <row r="5" spans="1:28" ht="15.75" x14ac:dyDescent="0.25">
      <c r="A5" s="26">
        <v>44942</v>
      </c>
    </row>
    <row r="7" spans="1:28" x14ac:dyDescent="0.25">
      <c r="B7">
        <v>1995</v>
      </c>
      <c r="C7">
        <v>1996</v>
      </c>
      <c r="D7">
        <v>1997</v>
      </c>
      <c r="E7">
        <v>1998</v>
      </c>
      <c r="F7">
        <v>1999</v>
      </c>
      <c r="G7">
        <v>2000</v>
      </c>
      <c r="H7">
        <v>2001</v>
      </c>
      <c r="I7">
        <v>2002</v>
      </c>
      <c r="J7">
        <v>2003</v>
      </c>
      <c r="K7">
        <v>2004</v>
      </c>
      <c r="L7">
        <v>2005</v>
      </c>
      <c r="M7">
        <v>2006</v>
      </c>
      <c r="N7">
        <v>2007</v>
      </c>
      <c r="O7">
        <v>2008</v>
      </c>
      <c r="P7">
        <v>2009</v>
      </c>
      <c r="Q7">
        <v>2010</v>
      </c>
      <c r="R7">
        <v>2011</v>
      </c>
      <c r="S7">
        <v>2012</v>
      </c>
      <c r="T7">
        <v>2013</v>
      </c>
      <c r="U7">
        <v>2014</v>
      </c>
      <c r="V7">
        <v>2015</v>
      </c>
      <c r="W7">
        <v>2016</v>
      </c>
      <c r="X7">
        <v>2017</v>
      </c>
      <c r="Y7">
        <v>2018</v>
      </c>
      <c r="Z7">
        <v>2019</v>
      </c>
      <c r="AA7">
        <v>2020</v>
      </c>
      <c r="AB7">
        <v>2021</v>
      </c>
    </row>
    <row r="8" spans="1:28" s="4" customFormat="1" x14ac:dyDescent="0.25">
      <c r="A8" s="4" t="s">
        <v>220</v>
      </c>
      <c r="B8" s="4">
        <f>IFERROR(B22/1,"")</f>
        <v>460</v>
      </c>
      <c r="C8" s="4">
        <f t="shared" ref="C8:AB10" si="0">IFERROR(C22/1,"")</f>
        <v>468</v>
      </c>
      <c r="D8" s="4">
        <f t="shared" si="0"/>
        <v>472</v>
      </c>
      <c r="E8" s="4">
        <f t="shared" si="0"/>
        <v>467</v>
      </c>
      <c r="F8" s="4">
        <f t="shared" si="0"/>
        <v>480</v>
      </c>
      <c r="G8" s="4">
        <f t="shared" si="0"/>
        <v>478</v>
      </c>
      <c r="H8" s="4">
        <f t="shared" si="0"/>
        <v>466</v>
      </c>
      <c r="I8" s="4">
        <f t="shared" si="0"/>
        <v>469</v>
      </c>
      <c r="J8" s="4">
        <f t="shared" si="0"/>
        <v>454</v>
      </c>
      <c r="K8" s="4">
        <f t="shared" si="0"/>
        <v>464</v>
      </c>
      <c r="L8" s="4">
        <f t="shared" si="0"/>
        <v>462</v>
      </c>
      <c r="M8" s="4">
        <f t="shared" si="0"/>
        <v>470</v>
      </c>
      <c r="N8" s="4">
        <f t="shared" si="0"/>
        <v>472</v>
      </c>
      <c r="O8" s="4">
        <f t="shared" si="0"/>
        <v>465</v>
      </c>
      <c r="P8" s="4">
        <f t="shared" si="0"/>
        <v>467</v>
      </c>
      <c r="Q8" s="4">
        <f t="shared" si="0"/>
        <v>458</v>
      </c>
      <c r="R8" s="4">
        <f t="shared" si="0"/>
        <v>465</v>
      </c>
      <c r="S8" s="4">
        <f t="shared" si="0"/>
        <v>472</v>
      </c>
      <c r="T8" s="4">
        <f t="shared" si="0"/>
        <v>462</v>
      </c>
      <c r="U8" s="4">
        <f t="shared" si="0"/>
        <v>480</v>
      </c>
      <c r="V8" s="4">
        <f t="shared" si="0"/>
        <v>467</v>
      </c>
      <c r="W8" s="4">
        <f t="shared" si="0"/>
        <v>472</v>
      </c>
      <c r="X8" s="4">
        <f t="shared" si="0"/>
        <v>470</v>
      </c>
      <c r="Y8" s="4">
        <f t="shared" si="0"/>
        <v>456</v>
      </c>
      <c r="Z8" s="4">
        <f t="shared" si="0"/>
        <v>464</v>
      </c>
      <c r="AA8" s="4">
        <f t="shared" si="0"/>
        <v>481</v>
      </c>
      <c r="AB8" s="4">
        <f t="shared" si="0"/>
        <v>492</v>
      </c>
    </row>
    <row r="9" spans="1:28" s="4" customFormat="1" x14ac:dyDescent="0.25">
      <c r="A9" s="4" t="s">
        <v>221</v>
      </c>
      <c r="B9" s="4">
        <f t="shared" ref="B9:Q10" si="1">IFERROR(B23/1,"")</f>
        <v>286</v>
      </c>
      <c r="C9" s="4">
        <f t="shared" si="1"/>
        <v>277</v>
      </c>
      <c r="D9" s="4">
        <f t="shared" si="1"/>
        <v>269</v>
      </c>
      <c r="E9" s="4">
        <f t="shared" si="1"/>
        <v>258</v>
      </c>
      <c r="F9" s="4">
        <f t="shared" si="1"/>
        <v>251</v>
      </c>
      <c r="G9" s="4">
        <f t="shared" si="1"/>
        <v>245</v>
      </c>
      <c r="H9" s="4">
        <f t="shared" si="1"/>
        <v>237</v>
      </c>
      <c r="I9" s="4">
        <f t="shared" si="1"/>
        <v>233</v>
      </c>
      <c r="J9" s="4">
        <f t="shared" si="1"/>
        <v>225</v>
      </c>
      <c r="K9" s="4">
        <f t="shared" si="1"/>
        <v>229</v>
      </c>
      <c r="L9" s="4">
        <f t="shared" si="1"/>
        <v>228</v>
      </c>
      <c r="M9" s="4">
        <f t="shared" si="1"/>
        <v>228</v>
      </c>
      <c r="N9" s="4">
        <f t="shared" si="1"/>
        <v>226</v>
      </c>
      <c r="O9" s="4">
        <f t="shared" si="1"/>
        <v>223</v>
      </c>
      <c r="P9" s="4">
        <f t="shared" si="1"/>
        <v>226</v>
      </c>
      <c r="Q9" s="4">
        <f t="shared" si="1"/>
        <v>222</v>
      </c>
      <c r="R9" s="4">
        <f t="shared" si="0"/>
        <v>223</v>
      </c>
      <c r="S9" s="4">
        <f t="shared" si="0"/>
        <v>219</v>
      </c>
      <c r="T9" s="4">
        <f t="shared" si="0"/>
        <v>213</v>
      </c>
      <c r="U9" s="4">
        <f t="shared" si="0"/>
        <v>216</v>
      </c>
      <c r="V9" s="4">
        <f t="shared" si="0"/>
        <v>211</v>
      </c>
      <c r="W9" s="4">
        <f t="shared" si="0"/>
        <v>212</v>
      </c>
      <c r="X9" s="4">
        <f t="shared" si="0"/>
        <v>212</v>
      </c>
      <c r="Y9" s="4">
        <f t="shared" si="0"/>
        <v>210</v>
      </c>
      <c r="Z9" s="4">
        <f t="shared" si="0"/>
        <v>213</v>
      </c>
      <c r="AA9" s="4">
        <f t="shared" si="0"/>
        <v>224</v>
      </c>
      <c r="AB9" s="4">
        <f t="shared" si="0"/>
        <v>231</v>
      </c>
    </row>
    <row r="10" spans="1:28" x14ac:dyDescent="0.25">
      <c r="A10" t="s">
        <v>222</v>
      </c>
      <c r="B10" s="4">
        <f t="shared" si="1"/>
        <v>174</v>
      </c>
      <c r="C10" s="4">
        <f t="shared" si="0"/>
        <v>191</v>
      </c>
      <c r="D10" s="4">
        <f t="shared" si="0"/>
        <v>203</v>
      </c>
      <c r="E10" s="4">
        <f t="shared" si="0"/>
        <v>209</v>
      </c>
      <c r="F10" s="4">
        <f t="shared" si="0"/>
        <v>229</v>
      </c>
      <c r="G10" s="4">
        <f t="shared" si="0"/>
        <v>233</v>
      </c>
      <c r="H10" s="4">
        <f t="shared" si="0"/>
        <v>229</v>
      </c>
      <c r="I10" s="4">
        <f t="shared" si="0"/>
        <v>236</v>
      </c>
      <c r="J10" s="4">
        <f t="shared" si="0"/>
        <v>229</v>
      </c>
      <c r="K10" s="4">
        <f t="shared" si="0"/>
        <v>235</v>
      </c>
      <c r="L10" s="4">
        <f t="shared" si="0"/>
        <v>234</v>
      </c>
      <c r="M10" s="4">
        <f t="shared" si="0"/>
        <v>242</v>
      </c>
      <c r="N10" s="4">
        <f t="shared" si="0"/>
        <v>246</v>
      </c>
      <c r="O10" s="4">
        <f t="shared" si="0"/>
        <v>242</v>
      </c>
      <c r="P10" s="4">
        <f t="shared" si="0"/>
        <v>241</v>
      </c>
      <c r="Q10" s="4">
        <f t="shared" si="0"/>
        <v>236</v>
      </c>
      <c r="R10" s="4">
        <f t="shared" si="0"/>
        <v>242</v>
      </c>
      <c r="S10" s="4">
        <f t="shared" si="0"/>
        <v>253</v>
      </c>
      <c r="T10" s="4">
        <f t="shared" si="0"/>
        <v>249</v>
      </c>
      <c r="U10" s="4">
        <f t="shared" si="0"/>
        <v>264</v>
      </c>
      <c r="V10" s="4">
        <f t="shared" si="0"/>
        <v>256</v>
      </c>
      <c r="W10" s="4">
        <f t="shared" si="0"/>
        <v>260</v>
      </c>
      <c r="X10" s="4">
        <f t="shared" si="0"/>
        <v>258</v>
      </c>
      <c r="Y10" s="4">
        <f t="shared" si="0"/>
        <v>246</v>
      </c>
      <c r="Z10" s="4">
        <f t="shared" si="0"/>
        <v>251</v>
      </c>
      <c r="AA10" s="4">
        <f t="shared" si="0"/>
        <v>257</v>
      </c>
      <c r="AB10" s="4">
        <f t="shared" si="0"/>
        <v>261</v>
      </c>
    </row>
    <row r="21" spans="1:28" x14ac:dyDescent="0.25">
      <c r="A21" s="25" t="s">
        <v>224</v>
      </c>
      <c r="B21" s="25" t="s">
        <v>116</v>
      </c>
      <c r="C21" s="25" t="s">
        <v>117</v>
      </c>
      <c r="D21" s="25" t="s">
        <v>118</v>
      </c>
      <c r="E21" s="25" t="s">
        <v>119</v>
      </c>
      <c r="F21" s="25" t="s">
        <v>120</v>
      </c>
      <c r="G21" s="25" t="s">
        <v>121</v>
      </c>
      <c r="H21" s="25" t="s">
        <v>122</v>
      </c>
      <c r="I21" s="25" t="s">
        <v>123</v>
      </c>
      <c r="J21" s="25" t="s">
        <v>124</v>
      </c>
      <c r="K21" s="25" t="s">
        <v>125</v>
      </c>
      <c r="L21" s="25" t="s">
        <v>126</v>
      </c>
      <c r="M21" s="25" t="s">
        <v>127</v>
      </c>
      <c r="N21" s="25" t="s">
        <v>128</v>
      </c>
      <c r="O21" s="25" t="s">
        <v>129</v>
      </c>
      <c r="P21" s="25" t="s">
        <v>130</v>
      </c>
      <c r="Q21" s="25" t="s">
        <v>131</v>
      </c>
      <c r="R21" s="25" t="s">
        <v>132</v>
      </c>
      <c r="S21" s="25" t="s">
        <v>133</v>
      </c>
      <c r="T21" s="25" t="s">
        <v>134</v>
      </c>
      <c r="U21" s="25" t="s">
        <v>135</v>
      </c>
      <c r="V21" s="25" t="s">
        <v>136</v>
      </c>
      <c r="W21" s="25" t="s">
        <v>137</v>
      </c>
      <c r="X21" s="25" t="s">
        <v>138</v>
      </c>
      <c r="Y21" s="25" t="s">
        <v>139</v>
      </c>
      <c r="Z21" s="25" t="s">
        <v>140</v>
      </c>
      <c r="AA21" s="25" t="s">
        <v>141</v>
      </c>
      <c r="AB21" s="25" t="s">
        <v>214</v>
      </c>
    </row>
    <row r="22" spans="1:28" x14ac:dyDescent="0.25">
      <c r="A22" s="25" t="s">
        <v>220</v>
      </c>
      <c r="B22" s="25" t="s">
        <v>501</v>
      </c>
      <c r="C22" s="25" t="s">
        <v>502</v>
      </c>
      <c r="D22" s="25" t="s">
        <v>503</v>
      </c>
      <c r="E22" s="25" t="s">
        <v>504</v>
      </c>
      <c r="F22" s="25" t="s">
        <v>505</v>
      </c>
      <c r="G22" s="25" t="s">
        <v>506</v>
      </c>
      <c r="H22" s="25" t="s">
        <v>507</v>
      </c>
      <c r="I22" s="25" t="s">
        <v>508</v>
      </c>
      <c r="J22" s="25" t="s">
        <v>509</v>
      </c>
      <c r="K22" s="25" t="s">
        <v>510</v>
      </c>
      <c r="L22" s="25" t="s">
        <v>511</v>
      </c>
      <c r="M22" s="25" t="s">
        <v>512</v>
      </c>
      <c r="N22" s="25" t="s">
        <v>503</v>
      </c>
      <c r="O22" s="25" t="s">
        <v>513</v>
      </c>
      <c r="P22" s="25" t="s">
        <v>504</v>
      </c>
      <c r="Q22" s="25" t="s">
        <v>514</v>
      </c>
      <c r="R22" s="25" t="s">
        <v>513</v>
      </c>
      <c r="S22" s="25" t="s">
        <v>503</v>
      </c>
      <c r="T22" s="25" t="s">
        <v>511</v>
      </c>
      <c r="U22" s="25" t="s">
        <v>505</v>
      </c>
      <c r="V22" s="25" t="s">
        <v>504</v>
      </c>
      <c r="W22" s="25" t="s">
        <v>503</v>
      </c>
      <c r="X22" s="25" t="s">
        <v>512</v>
      </c>
      <c r="Y22" s="25" t="s">
        <v>515</v>
      </c>
      <c r="Z22" s="25" t="s">
        <v>510</v>
      </c>
      <c r="AA22" s="25" t="s">
        <v>516</v>
      </c>
      <c r="AB22" s="25" t="s">
        <v>517</v>
      </c>
    </row>
    <row r="23" spans="1:28" x14ac:dyDescent="0.25">
      <c r="A23" s="25" t="s">
        <v>221</v>
      </c>
      <c r="B23" s="25" t="s">
        <v>518</v>
      </c>
      <c r="C23" s="25" t="s">
        <v>519</v>
      </c>
      <c r="D23" s="25" t="s">
        <v>520</v>
      </c>
      <c r="E23" s="25" t="s">
        <v>521</v>
      </c>
      <c r="F23" s="25" t="s">
        <v>522</v>
      </c>
      <c r="G23" s="25" t="s">
        <v>523</v>
      </c>
      <c r="H23" s="25" t="s">
        <v>524</v>
      </c>
      <c r="I23" s="25" t="s">
        <v>525</v>
      </c>
      <c r="J23" s="25" t="s">
        <v>526</v>
      </c>
      <c r="K23" s="25" t="s">
        <v>527</v>
      </c>
      <c r="L23" s="25" t="s">
        <v>528</v>
      </c>
      <c r="M23" s="25" t="s">
        <v>528</v>
      </c>
      <c r="N23" s="25" t="s">
        <v>529</v>
      </c>
      <c r="O23" s="25" t="s">
        <v>530</v>
      </c>
      <c r="P23" s="25" t="s">
        <v>529</v>
      </c>
      <c r="Q23" s="25" t="s">
        <v>531</v>
      </c>
      <c r="R23" s="25" t="s">
        <v>530</v>
      </c>
      <c r="S23" s="25" t="s">
        <v>532</v>
      </c>
      <c r="T23" s="25" t="s">
        <v>533</v>
      </c>
      <c r="U23" s="25" t="s">
        <v>534</v>
      </c>
      <c r="V23" s="25" t="s">
        <v>364</v>
      </c>
      <c r="W23" s="25" t="s">
        <v>535</v>
      </c>
      <c r="X23" s="25" t="s">
        <v>535</v>
      </c>
      <c r="Y23" s="25" t="s">
        <v>536</v>
      </c>
      <c r="Z23" s="25" t="s">
        <v>533</v>
      </c>
      <c r="AA23" s="25" t="s">
        <v>537</v>
      </c>
      <c r="AB23" s="25" t="s">
        <v>538</v>
      </c>
    </row>
    <row r="24" spans="1:28" x14ac:dyDescent="0.25">
      <c r="A24" s="25" t="s">
        <v>539</v>
      </c>
      <c r="B24" s="25" t="s">
        <v>540</v>
      </c>
      <c r="C24" s="25" t="s">
        <v>541</v>
      </c>
      <c r="D24" s="25" t="s">
        <v>542</v>
      </c>
      <c r="E24" s="25" t="s">
        <v>543</v>
      </c>
      <c r="F24" s="25" t="s">
        <v>527</v>
      </c>
      <c r="G24" s="25" t="s">
        <v>525</v>
      </c>
      <c r="H24" s="25" t="s">
        <v>527</v>
      </c>
      <c r="I24" s="25" t="s">
        <v>544</v>
      </c>
      <c r="J24" s="25" t="s">
        <v>527</v>
      </c>
      <c r="K24" s="25" t="s">
        <v>545</v>
      </c>
      <c r="L24" s="25" t="s">
        <v>546</v>
      </c>
      <c r="M24" s="25" t="s">
        <v>547</v>
      </c>
      <c r="N24" s="25" t="s">
        <v>548</v>
      </c>
      <c r="O24" s="25" t="s">
        <v>547</v>
      </c>
      <c r="P24" s="25" t="s">
        <v>549</v>
      </c>
      <c r="Q24" s="25" t="s">
        <v>544</v>
      </c>
      <c r="R24" s="25" t="s">
        <v>547</v>
      </c>
      <c r="S24" s="25" t="s">
        <v>550</v>
      </c>
      <c r="T24" s="25" t="s">
        <v>551</v>
      </c>
      <c r="U24" s="25" t="s">
        <v>552</v>
      </c>
      <c r="V24" s="25" t="s">
        <v>553</v>
      </c>
      <c r="W24" s="25" t="s">
        <v>554</v>
      </c>
      <c r="X24" s="25" t="s">
        <v>521</v>
      </c>
      <c r="Y24" s="25" t="s">
        <v>548</v>
      </c>
      <c r="Z24" s="25" t="s">
        <v>522</v>
      </c>
      <c r="AA24" s="25" t="s">
        <v>555</v>
      </c>
      <c r="AB24" s="25" t="s">
        <v>556</v>
      </c>
    </row>
  </sheetData>
  <hyperlinks>
    <hyperlink ref="A1" location="Inhalt!A1" display="zurück Zur Übersicht"/>
  </hyperlink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B22"/>
  <sheetViews>
    <sheetView topLeftCell="B1" workbookViewId="0">
      <selection activeCell="A21" sqref="A21:AA22"/>
    </sheetView>
  </sheetViews>
  <sheetFormatPr baseColWidth="10" defaultRowHeight="15" x14ac:dyDescent="0.25"/>
  <cols>
    <col min="1" max="1" width="14.5703125" customWidth="1"/>
    <col min="2" max="28" width="7.28515625" customWidth="1"/>
    <col min="29" max="82" width="5.42578125" customWidth="1"/>
  </cols>
  <sheetData>
    <row r="1" spans="1:28" ht="21" x14ac:dyDescent="0.35">
      <c r="A1" s="10" t="s">
        <v>212</v>
      </c>
      <c r="B1" s="11" t="s">
        <v>16</v>
      </c>
    </row>
    <row r="2" spans="1:28" x14ac:dyDescent="0.25">
      <c r="A2" t="s">
        <v>172</v>
      </c>
      <c r="B2" t="s">
        <v>67</v>
      </c>
    </row>
    <row r="3" spans="1:28" x14ac:dyDescent="0.25">
      <c r="A3" t="s">
        <v>173</v>
      </c>
      <c r="B3">
        <v>0</v>
      </c>
    </row>
    <row r="4" spans="1:28" x14ac:dyDescent="0.25">
      <c r="A4" t="s">
        <v>41</v>
      </c>
    </row>
    <row r="5" spans="1:28" ht="15.75" x14ac:dyDescent="0.25">
      <c r="A5" s="26">
        <v>44860</v>
      </c>
    </row>
    <row r="7" spans="1:28" x14ac:dyDescent="0.25">
      <c r="B7">
        <v>1995</v>
      </c>
      <c r="C7">
        <v>1996</v>
      </c>
      <c r="D7">
        <v>1997</v>
      </c>
      <c r="E7">
        <v>1998</v>
      </c>
      <c r="F7">
        <v>1999</v>
      </c>
      <c r="G7">
        <v>2000</v>
      </c>
      <c r="H7">
        <v>2001</v>
      </c>
      <c r="I7">
        <v>2002</v>
      </c>
      <c r="J7">
        <v>2003</v>
      </c>
      <c r="K7">
        <v>2004</v>
      </c>
      <c r="L7">
        <v>2005</v>
      </c>
      <c r="M7">
        <v>2006</v>
      </c>
      <c r="N7">
        <v>2007</v>
      </c>
      <c r="O7">
        <v>2008</v>
      </c>
      <c r="P7">
        <v>2009</v>
      </c>
      <c r="Q7">
        <v>2010</v>
      </c>
      <c r="R7">
        <v>2011</v>
      </c>
      <c r="S7">
        <v>2012</v>
      </c>
      <c r="T7">
        <v>2013</v>
      </c>
      <c r="U7">
        <v>2014</v>
      </c>
      <c r="V7">
        <v>2015</v>
      </c>
      <c r="W7">
        <v>2016</v>
      </c>
      <c r="X7">
        <v>2017</v>
      </c>
      <c r="Y7">
        <v>2018</v>
      </c>
      <c r="Z7">
        <v>2019</v>
      </c>
      <c r="AA7">
        <v>2020</v>
      </c>
      <c r="AB7">
        <v>2021</v>
      </c>
    </row>
    <row r="8" spans="1:28" s="4" customFormat="1" x14ac:dyDescent="0.25">
      <c r="A8" s="4" t="s">
        <v>16</v>
      </c>
      <c r="B8" s="4">
        <f>IFERROR(abw_02_recycling[1995]/1,"")</f>
        <v>36</v>
      </c>
      <c r="C8" s="4">
        <f>IFERROR(abw_02_recycling[1996]/1,"")</f>
        <v>39</v>
      </c>
      <c r="D8" s="4">
        <f>IFERROR(abw_02_recycling[1997]/1,"")</f>
        <v>41</v>
      </c>
      <c r="E8" s="4">
        <f>IFERROR(abw_02_recycling[1998]/1,"")</f>
        <v>44</v>
      </c>
      <c r="F8" s="4">
        <f>IFERROR(abw_02_recycling[1999]/1,"")</f>
        <v>45</v>
      </c>
      <c r="G8" s="4">
        <f>IFERROR(abw_02_recycling[2000]/1,"")</f>
        <v>45</v>
      </c>
      <c r="H8" s="4">
        <f>IFERROR(abw_02_recycling[2001]/1,"")</f>
        <v>45</v>
      </c>
      <c r="I8" s="4">
        <f>IFERROR(abw_02_recycling[2002]/1,"")</f>
        <v>47</v>
      </c>
      <c r="J8" s="4">
        <f>IFERROR(abw_02_recycling[2003]/1,"")</f>
        <v>45</v>
      </c>
      <c r="K8" s="4">
        <f>IFERROR(abw_02_recycling[2004]/1,"")</f>
        <v>46</v>
      </c>
      <c r="L8" s="4">
        <f>IFERROR(abw_02_recycling[2005]/1,"")</f>
        <v>46</v>
      </c>
      <c r="M8" s="4">
        <f>IFERROR(abw_02_recycling[2006]/1,"")</f>
        <v>47</v>
      </c>
      <c r="N8" s="4">
        <f>IFERROR(abw_02_recycling[2007]/1,"")</f>
        <v>47</v>
      </c>
      <c r="O8" s="4">
        <f>IFERROR(abw_02_recycling[2008]/1,"")</f>
        <v>48</v>
      </c>
      <c r="P8" s="4">
        <f>IFERROR(abw_02_recycling[2009]/1,"")</f>
        <v>48</v>
      </c>
      <c r="Q8" s="4">
        <f>IFERROR(abw_02_recycling[2010]/1,"")</f>
        <v>48</v>
      </c>
      <c r="R8" s="4">
        <f>IFERROR(abw_02_recycling[2011]/1,"")</f>
        <v>48</v>
      </c>
      <c r="S8" s="4">
        <f>IFERROR(abw_02_recycling[2012]/1,"")</f>
        <v>49</v>
      </c>
      <c r="T8" s="4">
        <f>IFERROR(abw_02_recycling[2013]/1,"")</f>
        <v>50</v>
      </c>
      <c r="U8" s="4">
        <f>IFERROR(abw_02_recycling[2014]/1,"")</f>
        <v>51</v>
      </c>
      <c r="V8" s="4">
        <f>IFERROR(abw_02_recycling[2015]/1,"")</f>
        <v>50</v>
      </c>
      <c r="W8" s="4">
        <f>IFERROR(abw_02_recycling[2016]/1,"")</f>
        <v>50</v>
      </c>
      <c r="X8" s="4">
        <f>IFERROR(abw_02_recycling[2017]/1,"")</f>
        <v>50</v>
      </c>
      <c r="Y8" s="4">
        <f>IFERROR(abw_02_recycling[2018]/1,"")</f>
        <v>50</v>
      </c>
      <c r="Z8" s="4">
        <f>IFERROR(abw_02_recycling[2019]/1,"")</f>
        <v>50</v>
      </c>
      <c r="AA8" s="4">
        <f>IFERROR(abw_02_recycling[2020]/1,"")</f>
        <v>51</v>
      </c>
      <c r="AB8" s="4" t="str">
        <f>IFERROR(#REF!/1,"")</f>
        <v/>
      </c>
    </row>
    <row r="21" spans="1:28" x14ac:dyDescent="0.25">
      <c r="A21" s="25" t="s">
        <v>224</v>
      </c>
      <c r="B21" s="25" t="s">
        <v>116</v>
      </c>
      <c r="C21" s="25" t="s">
        <v>117</v>
      </c>
      <c r="D21" s="25" t="s">
        <v>118</v>
      </c>
      <c r="E21" s="25" t="s">
        <v>119</v>
      </c>
      <c r="F21" s="25" t="s">
        <v>120</v>
      </c>
      <c r="G21" s="25" t="s">
        <v>121</v>
      </c>
      <c r="H21" s="25" t="s">
        <v>122</v>
      </c>
      <c r="I21" s="25" t="s">
        <v>123</v>
      </c>
      <c r="J21" s="25" t="s">
        <v>124</v>
      </c>
      <c r="K21" s="25" t="s">
        <v>125</v>
      </c>
      <c r="L21" s="25" t="s">
        <v>126</v>
      </c>
      <c r="M21" s="25" t="s">
        <v>127</v>
      </c>
      <c r="N21" s="25" t="s">
        <v>128</v>
      </c>
      <c r="O21" s="25" t="s">
        <v>129</v>
      </c>
      <c r="P21" s="25" t="s">
        <v>130</v>
      </c>
      <c r="Q21" s="25" t="s">
        <v>131</v>
      </c>
      <c r="R21" s="25" t="s">
        <v>132</v>
      </c>
      <c r="S21" s="25" t="s">
        <v>133</v>
      </c>
      <c r="T21" s="25" t="s">
        <v>134</v>
      </c>
      <c r="U21" s="25" t="s">
        <v>135</v>
      </c>
      <c r="V21" s="25" t="s">
        <v>136</v>
      </c>
      <c r="W21" s="25" t="s">
        <v>137</v>
      </c>
      <c r="X21" s="25" t="s">
        <v>138</v>
      </c>
      <c r="Y21" s="25" t="s">
        <v>139</v>
      </c>
      <c r="Z21" s="25" t="s">
        <v>140</v>
      </c>
      <c r="AA21" s="25" t="s">
        <v>141</v>
      </c>
      <c r="AB21" s="25"/>
    </row>
    <row r="22" spans="1:28" x14ac:dyDescent="0.25">
      <c r="A22" s="25" t="s">
        <v>16</v>
      </c>
      <c r="B22" s="25" t="s">
        <v>352</v>
      </c>
      <c r="C22" s="25" t="s">
        <v>400</v>
      </c>
      <c r="D22" s="25" t="s">
        <v>557</v>
      </c>
      <c r="E22" s="25" t="s">
        <v>558</v>
      </c>
      <c r="F22" s="25" t="s">
        <v>559</v>
      </c>
      <c r="G22" s="25" t="s">
        <v>559</v>
      </c>
      <c r="H22" s="25" t="s">
        <v>559</v>
      </c>
      <c r="I22" s="25" t="s">
        <v>363</v>
      </c>
      <c r="J22" s="25" t="s">
        <v>559</v>
      </c>
      <c r="K22" s="25" t="s">
        <v>560</v>
      </c>
      <c r="L22" s="25" t="s">
        <v>560</v>
      </c>
      <c r="M22" s="25" t="s">
        <v>363</v>
      </c>
      <c r="N22" s="25" t="s">
        <v>363</v>
      </c>
      <c r="O22" s="25" t="s">
        <v>561</v>
      </c>
      <c r="P22" s="25" t="s">
        <v>561</v>
      </c>
      <c r="Q22" s="25" t="s">
        <v>561</v>
      </c>
      <c r="R22" s="25" t="s">
        <v>561</v>
      </c>
      <c r="S22" s="25" t="s">
        <v>562</v>
      </c>
      <c r="T22" s="25" t="s">
        <v>563</v>
      </c>
      <c r="U22" s="25" t="s">
        <v>564</v>
      </c>
      <c r="V22" s="25" t="s">
        <v>563</v>
      </c>
      <c r="W22" s="25" t="s">
        <v>563</v>
      </c>
      <c r="X22" s="25" t="s">
        <v>563</v>
      </c>
      <c r="Y22" s="25" t="s">
        <v>563</v>
      </c>
      <c r="Z22" s="25" t="s">
        <v>563</v>
      </c>
      <c r="AA22" s="25" t="s">
        <v>564</v>
      </c>
      <c r="AB22" s="25"/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AA23"/>
  <sheetViews>
    <sheetView topLeftCell="B1" workbookViewId="0">
      <selection activeCell="A21" sqref="A21:AA23"/>
    </sheetView>
  </sheetViews>
  <sheetFormatPr baseColWidth="10" defaultRowHeight="15" x14ac:dyDescent="0.25"/>
  <cols>
    <col min="1" max="1" width="40" customWidth="1"/>
    <col min="2" max="21" width="7.28515625" customWidth="1"/>
    <col min="22" max="23" width="9.42578125" customWidth="1"/>
    <col min="24" max="27" width="7.28515625" customWidth="1"/>
    <col min="28" max="54" width="7" customWidth="1"/>
  </cols>
  <sheetData>
    <row r="1" spans="1:27" ht="21" x14ac:dyDescent="0.35">
      <c r="A1" s="10" t="s">
        <v>212</v>
      </c>
      <c r="B1" s="11" t="s">
        <v>50</v>
      </c>
    </row>
    <row r="2" spans="1:27" x14ac:dyDescent="0.25">
      <c r="A2" t="s">
        <v>172</v>
      </c>
      <c r="B2" t="s">
        <v>68</v>
      </c>
    </row>
    <row r="3" spans="1:27" x14ac:dyDescent="0.25">
      <c r="A3" t="s">
        <v>173</v>
      </c>
    </row>
    <row r="4" spans="1:27" x14ac:dyDescent="0.25">
      <c r="A4" t="s">
        <v>41</v>
      </c>
    </row>
    <row r="5" spans="1:27" ht="15.75" x14ac:dyDescent="0.25">
      <c r="A5" s="26">
        <v>44860</v>
      </c>
    </row>
    <row r="7" spans="1:27" x14ac:dyDescent="0.25">
      <c r="B7">
        <v>1996</v>
      </c>
      <c r="C7">
        <v>1997</v>
      </c>
      <c r="D7">
        <v>1998</v>
      </c>
      <c r="E7">
        <v>1999</v>
      </c>
      <c r="F7">
        <v>2000</v>
      </c>
      <c r="G7">
        <v>2001</v>
      </c>
      <c r="H7">
        <v>2002</v>
      </c>
      <c r="I7">
        <v>2003</v>
      </c>
      <c r="J7">
        <v>2004</v>
      </c>
      <c r="K7">
        <v>2005</v>
      </c>
      <c r="L7">
        <v>2006</v>
      </c>
      <c r="M7">
        <v>2007</v>
      </c>
      <c r="N7">
        <v>2008</v>
      </c>
      <c r="O7">
        <v>2009</v>
      </c>
      <c r="P7">
        <v>2010</v>
      </c>
      <c r="Q7">
        <v>2011</v>
      </c>
      <c r="R7">
        <v>2012</v>
      </c>
      <c r="S7">
        <v>2013</v>
      </c>
      <c r="T7">
        <v>2014</v>
      </c>
      <c r="U7">
        <v>2015</v>
      </c>
      <c r="V7" t="s">
        <v>145</v>
      </c>
      <c r="W7" t="s">
        <v>146</v>
      </c>
      <c r="X7">
        <v>2018</v>
      </c>
      <c r="Y7">
        <v>2019</v>
      </c>
      <c r="Z7">
        <v>2020</v>
      </c>
      <c r="AA7">
        <v>2021</v>
      </c>
    </row>
    <row r="8" spans="1:27" s="2" customFormat="1" ht="27.75" customHeight="1" x14ac:dyDescent="0.25">
      <c r="A8" s="2" t="s">
        <v>147</v>
      </c>
      <c r="B8" s="2">
        <f>IFERROR(B22/1,"")</f>
        <v>13.3</v>
      </c>
      <c r="C8" s="2">
        <f t="shared" ref="C8:AA8" si="0">IFERROR(C22/1,"")</f>
        <v>16</v>
      </c>
      <c r="D8" s="2">
        <f t="shared" si="0"/>
        <v>15.2</v>
      </c>
      <c r="E8" s="2">
        <f t="shared" si="0"/>
        <v>19.3</v>
      </c>
      <c r="F8" s="2">
        <f t="shared" si="0"/>
        <v>15.3</v>
      </c>
      <c r="G8" s="2">
        <f t="shared" si="0"/>
        <v>16.3</v>
      </c>
      <c r="H8" s="2">
        <f t="shared" si="0"/>
        <v>16</v>
      </c>
      <c r="I8" s="2">
        <f t="shared" si="0"/>
        <v>8.9</v>
      </c>
      <c r="J8" s="2">
        <f t="shared" si="0"/>
        <v>19.7</v>
      </c>
      <c r="K8" s="2">
        <f t="shared" si="0"/>
        <v>13.3</v>
      </c>
      <c r="L8" s="2">
        <f t="shared" si="0"/>
        <v>14.4</v>
      </c>
      <c r="M8" s="2">
        <f t="shared" si="0"/>
        <v>14.1</v>
      </c>
      <c r="N8" s="2">
        <f t="shared" si="0"/>
        <v>15</v>
      </c>
      <c r="O8" s="2">
        <f t="shared" si="0"/>
        <v>9.1</v>
      </c>
      <c r="P8" s="2">
        <f t="shared" si="0"/>
        <v>11.5</v>
      </c>
      <c r="Q8" s="2">
        <f t="shared" si="0"/>
        <v>10</v>
      </c>
      <c r="R8" s="2">
        <f t="shared" si="0"/>
        <v>10.4</v>
      </c>
      <c r="S8" s="2">
        <f t="shared" si="0"/>
        <v>9.3000000000000007</v>
      </c>
      <c r="T8" s="2">
        <f t="shared" si="0"/>
        <v>9</v>
      </c>
      <c r="U8" s="2">
        <f t="shared" si="0"/>
        <v>9.3000000000000007</v>
      </c>
      <c r="V8" s="5">
        <f t="shared" si="0"/>
        <v>10.1</v>
      </c>
      <c r="W8" s="5">
        <f t="shared" si="0"/>
        <v>11.8</v>
      </c>
      <c r="X8" s="2">
        <f t="shared" si="0"/>
        <v>0</v>
      </c>
      <c r="Y8" s="2">
        <f t="shared" si="0"/>
        <v>0</v>
      </c>
      <c r="Z8" s="2">
        <f t="shared" si="0"/>
        <v>0</v>
      </c>
      <c r="AA8" s="2">
        <f t="shared" si="0"/>
        <v>0</v>
      </c>
    </row>
    <row r="9" spans="1:27" s="2" customFormat="1" ht="27.75" customHeight="1" x14ac:dyDescent="0.25">
      <c r="A9" s="2" t="s">
        <v>148</v>
      </c>
      <c r="B9" s="2">
        <f>IFERROR(B23/1,"")</f>
        <v>0</v>
      </c>
      <c r="C9" s="2">
        <f t="shared" ref="C9:AA9" si="1">IFERROR(C23/1,"")</f>
        <v>0</v>
      </c>
      <c r="D9" s="2">
        <f t="shared" si="1"/>
        <v>0</v>
      </c>
      <c r="E9" s="2">
        <f t="shared" si="1"/>
        <v>0</v>
      </c>
      <c r="F9" s="2">
        <f t="shared" si="1"/>
        <v>0</v>
      </c>
      <c r="G9" s="2">
        <f t="shared" si="1"/>
        <v>0</v>
      </c>
      <c r="H9" s="2">
        <f t="shared" si="1"/>
        <v>0</v>
      </c>
      <c r="I9" s="2">
        <f t="shared" si="1"/>
        <v>0</v>
      </c>
      <c r="J9" s="2">
        <f t="shared" si="1"/>
        <v>0</v>
      </c>
      <c r="K9" s="2">
        <f t="shared" si="1"/>
        <v>0</v>
      </c>
      <c r="L9" s="2">
        <f t="shared" si="1"/>
        <v>0</v>
      </c>
      <c r="M9" s="2">
        <f t="shared" si="1"/>
        <v>0</v>
      </c>
      <c r="N9" s="2">
        <f t="shared" si="1"/>
        <v>0</v>
      </c>
      <c r="O9" s="2">
        <f t="shared" si="1"/>
        <v>0</v>
      </c>
      <c r="P9" s="2">
        <f t="shared" si="1"/>
        <v>0</v>
      </c>
      <c r="Q9" s="2">
        <f t="shared" si="1"/>
        <v>0</v>
      </c>
      <c r="R9" s="2">
        <f t="shared" si="1"/>
        <v>0</v>
      </c>
      <c r="S9" s="2">
        <f t="shared" si="1"/>
        <v>0</v>
      </c>
      <c r="T9" s="2">
        <f t="shared" si="1"/>
        <v>0</v>
      </c>
      <c r="U9" s="2">
        <f t="shared" si="1"/>
        <v>0</v>
      </c>
      <c r="V9" s="2">
        <f t="shared" si="1"/>
        <v>0</v>
      </c>
      <c r="W9" s="2">
        <f t="shared" si="1"/>
        <v>6.3</v>
      </c>
      <c r="X9" s="2">
        <f t="shared" si="1"/>
        <v>5.2</v>
      </c>
      <c r="Y9" s="2">
        <f t="shared" si="1"/>
        <v>8.1</v>
      </c>
      <c r="Z9" s="2">
        <f t="shared" si="1"/>
        <v>5.7</v>
      </c>
      <c r="AA9" s="2">
        <f t="shared" si="1"/>
        <v>5.4</v>
      </c>
    </row>
    <row r="21" spans="1:27" x14ac:dyDescent="0.25">
      <c r="A21" s="25" t="s">
        <v>224</v>
      </c>
      <c r="B21" s="25" t="s">
        <v>117</v>
      </c>
      <c r="C21" s="25" t="s">
        <v>118</v>
      </c>
      <c r="D21" s="25" t="s">
        <v>119</v>
      </c>
      <c r="E21" s="25" t="s">
        <v>120</v>
      </c>
      <c r="F21" s="25" t="s">
        <v>121</v>
      </c>
      <c r="G21" s="25" t="s">
        <v>122</v>
      </c>
      <c r="H21" s="25" t="s">
        <v>123</v>
      </c>
      <c r="I21" s="25" t="s">
        <v>124</v>
      </c>
      <c r="J21" s="25" t="s">
        <v>125</v>
      </c>
      <c r="K21" s="25" t="s">
        <v>126</v>
      </c>
      <c r="L21" s="25" t="s">
        <v>127</v>
      </c>
      <c r="M21" s="25" t="s">
        <v>128</v>
      </c>
      <c r="N21" s="25" t="s">
        <v>129</v>
      </c>
      <c r="O21" s="25" t="s">
        <v>130</v>
      </c>
      <c r="P21" s="25" t="s">
        <v>131</v>
      </c>
      <c r="Q21" s="25" t="s">
        <v>132</v>
      </c>
      <c r="R21" s="25" t="s">
        <v>133</v>
      </c>
      <c r="S21" s="25" t="s">
        <v>134</v>
      </c>
      <c r="T21" s="25" t="s">
        <v>135</v>
      </c>
      <c r="U21" s="25" t="s">
        <v>136</v>
      </c>
      <c r="V21" s="25" t="s">
        <v>145</v>
      </c>
      <c r="W21" s="25" t="s">
        <v>146</v>
      </c>
      <c r="X21" s="25" t="s">
        <v>139</v>
      </c>
      <c r="Y21" s="25" t="s">
        <v>140</v>
      </c>
      <c r="Z21" s="25" t="s">
        <v>141</v>
      </c>
      <c r="AA21" s="25" t="s">
        <v>214</v>
      </c>
    </row>
    <row r="22" spans="1:27" x14ac:dyDescent="0.25">
      <c r="A22" s="25" t="s">
        <v>147</v>
      </c>
      <c r="B22" s="25" t="s">
        <v>565</v>
      </c>
      <c r="C22" s="25" t="s">
        <v>566</v>
      </c>
      <c r="D22" s="25" t="s">
        <v>567</v>
      </c>
      <c r="E22" s="25" t="s">
        <v>568</v>
      </c>
      <c r="F22" s="25" t="s">
        <v>569</v>
      </c>
      <c r="G22" s="25" t="s">
        <v>570</v>
      </c>
      <c r="H22" s="25" t="s">
        <v>566</v>
      </c>
      <c r="I22" s="25" t="s">
        <v>347</v>
      </c>
      <c r="J22" s="25" t="s">
        <v>571</v>
      </c>
      <c r="K22" s="25" t="s">
        <v>565</v>
      </c>
      <c r="L22" s="25" t="s">
        <v>572</v>
      </c>
      <c r="M22" s="25" t="s">
        <v>305</v>
      </c>
      <c r="N22" s="25" t="s">
        <v>573</v>
      </c>
      <c r="O22" s="25" t="s">
        <v>574</v>
      </c>
      <c r="P22" s="25" t="s">
        <v>575</v>
      </c>
      <c r="Q22" s="25" t="s">
        <v>576</v>
      </c>
      <c r="R22" s="25" t="s">
        <v>577</v>
      </c>
      <c r="S22" s="25" t="s">
        <v>578</v>
      </c>
      <c r="T22" s="25" t="s">
        <v>579</v>
      </c>
      <c r="U22" s="25" t="s">
        <v>578</v>
      </c>
      <c r="V22" s="25" t="s">
        <v>580</v>
      </c>
      <c r="W22" s="25" t="s">
        <v>581</v>
      </c>
      <c r="X22" s="25" t="s">
        <v>582</v>
      </c>
      <c r="Y22" s="25" t="s">
        <v>582</v>
      </c>
      <c r="Z22" s="25" t="s">
        <v>582</v>
      </c>
      <c r="AA22" s="25" t="s">
        <v>582</v>
      </c>
    </row>
    <row r="23" spans="1:27" x14ac:dyDescent="0.25">
      <c r="A23" s="25" t="s">
        <v>148</v>
      </c>
      <c r="B23" s="25" t="s">
        <v>582</v>
      </c>
      <c r="C23" s="25" t="s">
        <v>582</v>
      </c>
      <c r="D23" s="25" t="s">
        <v>582</v>
      </c>
      <c r="E23" s="25" t="s">
        <v>582</v>
      </c>
      <c r="F23" s="25" t="s">
        <v>582</v>
      </c>
      <c r="G23" s="25" t="s">
        <v>582</v>
      </c>
      <c r="H23" s="25" t="s">
        <v>582</v>
      </c>
      <c r="I23" s="25" t="s">
        <v>582</v>
      </c>
      <c r="J23" s="25" t="s">
        <v>582</v>
      </c>
      <c r="K23" s="25" t="s">
        <v>582</v>
      </c>
      <c r="L23" s="25" t="s">
        <v>582</v>
      </c>
      <c r="M23" s="25" t="s">
        <v>582</v>
      </c>
      <c r="N23" s="25" t="s">
        <v>582</v>
      </c>
      <c r="O23" s="25" t="s">
        <v>582</v>
      </c>
      <c r="P23" s="25" t="s">
        <v>582</v>
      </c>
      <c r="Q23" s="25" t="s">
        <v>582</v>
      </c>
      <c r="R23" s="25" t="s">
        <v>582</v>
      </c>
      <c r="S23" s="25" t="s">
        <v>582</v>
      </c>
      <c r="T23" s="25" t="s">
        <v>582</v>
      </c>
      <c r="U23" s="25" t="s">
        <v>582</v>
      </c>
      <c r="V23" s="25" t="s">
        <v>582</v>
      </c>
      <c r="W23" s="25" t="s">
        <v>583</v>
      </c>
      <c r="X23" s="25" t="s">
        <v>332</v>
      </c>
      <c r="Y23" s="25" t="s">
        <v>584</v>
      </c>
      <c r="Z23" s="25" t="s">
        <v>585</v>
      </c>
      <c r="AA23" s="25" t="s">
        <v>344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A23"/>
  <sheetViews>
    <sheetView topLeftCell="B1" workbookViewId="0">
      <selection activeCell="A21" sqref="A21:AA23"/>
    </sheetView>
  </sheetViews>
  <sheetFormatPr baseColWidth="10" defaultRowHeight="15" x14ac:dyDescent="0.25"/>
  <cols>
    <col min="1" max="1" width="26.7109375" customWidth="1"/>
    <col min="2" max="27" width="7.28515625" customWidth="1"/>
    <col min="28" max="33" width="5.42578125" customWidth="1"/>
  </cols>
  <sheetData>
    <row r="1" spans="1:27" ht="21" x14ac:dyDescent="0.35">
      <c r="A1" s="10" t="s">
        <v>212</v>
      </c>
      <c r="B1" s="11" t="s">
        <v>17</v>
      </c>
    </row>
    <row r="2" spans="1:27" x14ac:dyDescent="0.25">
      <c r="A2" t="s">
        <v>172</v>
      </c>
      <c r="B2" t="s">
        <v>69</v>
      </c>
    </row>
    <row r="3" spans="1:27" x14ac:dyDescent="0.25">
      <c r="A3" t="s">
        <v>173</v>
      </c>
      <c r="B3">
        <v>1</v>
      </c>
    </row>
    <row r="4" spans="1:27" x14ac:dyDescent="0.25">
      <c r="A4" t="s">
        <v>41</v>
      </c>
    </row>
    <row r="5" spans="1:27" ht="15.75" x14ac:dyDescent="0.25">
      <c r="A5" s="26">
        <v>44860</v>
      </c>
    </row>
    <row r="7" spans="1:27" x14ac:dyDescent="0.25">
      <c r="B7">
        <v>1996</v>
      </c>
      <c r="C7">
        <v>1997</v>
      </c>
      <c r="D7">
        <v>1998</v>
      </c>
      <c r="E7">
        <v>1999</v>
      </c>
      <c r="F7">
        <v>2000</v>
      </c>
      <c r="G7">
        <v>2001</v>
      </c>
      <c r="H7">
        <v>2002</v>
      </c>
      <c r="I7">
        <v>2003</v>
      </c>
      <c r="J7">
        <v>2004</v>
      </c>
      <c r="K7">
        <v>2005</v>
      </c>
      <c r="L7">
        <v>2006</v>
      </c>
      <c r="M7">
        <v>2007</v>
      </c>
      <c r="N7">
        <v>2008</v>
      </c>
      <c r="O7">
        <v>2009</v>
      </c>
      <c r="P7">
        <v>2010</v>
      </c>
      <c r="Q7">
        <v>2011</v>
      </c>
      <c r="R7">
        <v>2012</v>
      </c>
      <c r="S7">
        <v>2013</v>
      </c>
      <c r="T7">
        <v>2014</v>
      </c>
      <c r="U7">
        <v>2015</v>
      </c>
      <c r="V7">
        <v>2016</v>
      </c>
      <c r="W7">
        <v>2017</v>
      </c>
      <c r="X7">
        <v>2018</v>
      </c>
      <c r="Y7">
        <v>2019</v>
      </c>
      <c r="Z7">
        <v>2020</v>
      </c>
      <c r="AA7">
        <v>2021</v>
      </c>
    </row>
    <row r="8" spans="1:27" s="2" customFormat="1" x14ac:dyDescent="0.25">
      <c r="A8" s="2" t="s">
        <v>149</v>
      </c>
      <c r="B8" s="2">
        <f>IFERROR(B22/1,"")</f>
        <v>262</v>
      </c>
      <c r="C8" s="2">
        <f t="shared" ref="C8:AA8" si="0">IFERROR(C22/1,"")</f>
        <v>265</v>
      </c>
      <c r="D8" s="2">
        <f t="shared" si="0"/>
        <v>268</v>
      </c>
      <c r="E8" s="2">
        <f t="shared" si="0"/>
        <v>271</v>
      </c>
      <c r="F8" s="2">
        <f t="shared" si="0"/>
        <v>273</v>
      </c>
      <c r="G8" s="2">
        <f t="shared" si="0"/>
        <v>276</v>
      </c>
      <c r="H8" s="2">
        <f t="shared" si="0"/>
        <v>278</v>
      </c>
      <c r="I8" s="2">
        <f t="shared" si="0"/>
        <v>279</v>
      </c>
      <c r="J8" s="2">
        <f t="shared" si="0"/>
        <v>283</v>
      </c>
      <c r="K8" s="2">
        <f t="shared" si="0"/>
        <v>285</v>
      </c>
      <c r="L8" s="2">
        <f t="shared" si="0"/>
        <v>288</v>
      </c>
      <c r="M8" s="2">
        <f t="shared" si="0"/>
        <v>291</v>
      </c>
      <c r="N8" s="2">
        <f t="shared" si="0"/>
        <v>294</v>
      </c>
      <c r="O8" s="2">
        <f t="shared" si="0"/>
        <v>297</v>
      </c>
      <c r="P8" s="2">
        <f t="shared" si="0"/>
        <v>299</v>
      </c>
      <c r="Q8" s="2">
        <f t="shared" si="0"/>
        <v>301</v>
      </c>
      <c r="R8" s="2">
        <f t="shared" si="0"/>
        <v>302</v>
      </c>
      <c r="S8" s="2">
        <f t="shared" si="0"/>
        <v>303</v>
      </c>
      <c r="T8" s="2">
        <f t="shared" si="0"/>
        <v>303</v>
      </c>
      <c r="U8" s="2">
        <f t="shared" si="0"/>
        <v>301</v>
      </c>
      <c r="V8" s="2" t="str">
        <f t="shared" si="0"/>
        <v/>
      </c>
      <c r="W8" s="2" t="str">
        <f t="shared" si="0"/>
        <v/>
      </c>
      <c r="X8" s="2" t="str">
        <f t="shared" si="0"/>
        <v/>
      </c>
      <c r="Y8" s="2" t="str">
        <f t="shared" si="0"/>
        <v/>
      </c>
      <c r="Z8" s="2" t="str">
        <f t="shared" si="0"/>
        <v/>
      </c>
      <c r="AA8" s="2" t="str">
        <f t="shared" si="0"/>
        <v/>
      </c>
    </row>
    <row r="9" spans="1:27" s="2" customFormat="1" x14ac:dyDescent="0.25">
      <c r="A9" s="2" t="s">
        <v>150</v>
      </c>
      <c r="B9" s="2" t="str">
        <f>IFERROR(B23/1,"")</f>
        <v/>
      </c>
      <c r="C9" s="2" t="str">
        <f t="shared" ref="C9:AA9" si="1">IFERROR(C23/1,"")</f>
        <v/>
      </c>
      <c r="D9" s="2" t="str">
        <f t="shared" si="1"/>
        <v/>
      </c>
      <c r="E9" s="2" t="str">
        <f t="shared" si="1"/>
        <v/>
      </c>
      <c r="F9" s="2" t="str">
        <f t="shared" si="1"/>
        <v/>
      </c>
      <c r="G9" s="2" t="str">
        <f t="shared" si="1"/>
        <v/>
      </c>
      <c r="H9" s="2" t="str">
        <f t="shared" si="1"/>
        <v/>
      </c>
      <c r="I9" s="2" t="str">
        <f t="shared" si="1"/>
        <v/>
      </c>
      <c r="J9" s="2" t="str">
        <f t="shared" si="1"/>
        <v/>
      </c>
      <c r="K9" s="2" t="str">
        <f t="shared" si="1"/>
        <v/>
      </c>
      <c r="L9" s="2" t="str">
        <f t="shared" si="1"/>
        <v/>
      </c>
      <c r="M9" s="2" t="str">
        <f t="shared" si="1"/>
        <v/>
      </c>
      <c r="N9" s="2" t="str">
        <f t="shared" si="1"/>
        <v/>
      </c>
      <c r="O9" s="2" t="str">
        <f t="shared" si="1"/>
        <v/>
      </c>
      <c r="P9" s="2" t="str">
        <f t="shared" si="1"/>
        <v/>
      </c>
      <c r="Q9" s="2" t="str">
        <f t="shared" si="1"/>
        <v/>
      </c>
      <c r="R9" s="2" t="str">
        <f t="shared" si="1"/>
        <v/>
      </c>
      <c r="S9" s="2" t="str">
        <f t="shared" si="1"/>
        <v/>
      </c>
      <c r="T9" s="2" t="str">
        <f t="shared" si="1"/>
        <v/>
      </c>
      <c r="U9" s="2" t="str">
        <f t="shared" si="1"/>
        <v/>
      </c>
      <c r="V9" s="2">
        <f t="shared" si="1"/>
        <v>302</v>
      </c>
      <c r="W9" s="2">
        <f t="shared" si="1"/>
        <v>303</v>
      </c>
      <c r="X9" s="2">
        <f t="shared" si="1"/>
        <v>304</v>
      </c>
      <c r="Y9" s="2">
        <f t="shared" si="1"/>
        <v>306</v>
      </c>
      <c r="Z9" s="2">
        <f t="shared" si="1"/>
        <v>307</v>
      </c>
      <c r="AA9" s="2">
        <f t="shared" si="1"/>
        <v>308</v>
      </c>
    </row>
    <row r="21" spans="1:27" x14ac:dyDescent="0.25">
      <c r="A21" s="25" t="s">
        <v>224</v>
      </c>
      <c r="B21" s="25" t="s">
        <v>117</v>
      </c>
      <c r="C21" s="25" t="s">
        <v>118</v>
      </c>
      <c r="D21" s="25" t="s">
        <v>119</v>
      </c>
      <c r="E21" s="25" t="s">
        <v>120</v>
      </c>
      <c r="F21" s="25" t="s">
        <v>121</v>
      </c>
      <c r="G21" s="25" t="s">
        <v>122</v>
      </c>
      <c r="H21" s="25" t="s">
        <v>123</v>
      </c>
      <c r="I21" s="25" t="s">
        <v>124</v>
      </c>
      <c r="J21" s="25" t="s">
        <v>125</v>
      </c>
      <c r="K21" s="25" t="s">
        <v>126</v>
      </c>
      <c r="L21" s="25" t="s">
        <v>127</v>
      </c>
      <c r="M21" s="25" t="s">
        <v>128</v>
      </c>
      <c r="N21" s="25" t="s">
        <v>129</v>
      </c>
      <c r="O21" s="25" t="s">
        <v>130</v>
      </c>
      <c r="P21" s="25" t="s">
        <v>131</v>
      </c>
      <c r="Q21" s="25" t="s">
        <v>132</v>
      </c>
      <c r="R21" s="25" t="s">
        <v>133</v>
      </c>
      <c r="S21" s="25" t="s">
        <v>134</v>
      </c>
      <c r="T21" s="25" t="s">
        <v>135</v>
      </c>
      <c r="U21" s="25" t="s">
        <v>136</v>
      </c>
      <c r="V21" s="25" t="s">
        <v>137</v>
      </c>
      <c r="W21" s="25" t="s">
        <v>138</v>
      </c>
      <c r="X21" s="25" t="s">
        <v>139</v>
      </c>
      <c r="Y21" s="25" t="s">
        <v>140</v>
      </c>
      <c r="Z21" s="25" t="s">
        <v>141</v>
      </c>
      <c r="AA21" s="25" t="s">
        <v>214</v>
      </c>
    </row>
    <row r="22" spans="1:27" x14ac:dyDescent="0.25">
      <c r="A22" s="25" t="s">
        <v>149</v>
      </c>
      <c r="B22" s="25" t="s">
        <v>586</v>
      </c>
      <c r="C22" s="25" t="s">
        <v>587</v>
      </c>
      <c r="D22" s="25" t="s">
        <v>588</v>
      </c>
      <c r="E22" s="25" t="s">
        <v>589</v>
      </c>
      <c r="F22" s="25" t="s">
        <v>590</v>
      </c>
      <c r="G22" s="25" t="s">
        <v>591</v>
      </c>
      <c r="H22" s="25" t="s">
        <v>592</v>
      </c>
      <c r="I22" s="25" t="s">
        <v>593</v>
      </c>
      <c r="J22" s="25" t="s">
        <v>594</v>
      </c>
      <c r="K22" s="25" t="s">
        <v>595</v>
      </c>
      <c r="L22" s="25" t="s">
        <v>596</v>
      </c>
      <c r="M22" s="25" t="s">
        <v>597</v>
      </c>
      <c r="N22" s="25" t="s">
        <v>598</v>
      </c>
      <c r="O22" s="25" t="s">
        <v>599</v>
      </c>
      <c r="P22" s="25" t="s">
        <v>600</v>
      </c>
      <c r="Q22" s="25" t="s">
        <v>601</v>
      </c>
      <c r="R22" s="25" t="s">
        <v>602</v>
      </c>
      <c r="S22" s="25" t="s">
        <v>603</v>
      </c>
      <c r="T22" s="25" t="s">
        <v>603</v>
      </c>
      <c r="U22" s="25" t="s">
        <v>601</v>
      </c>
      <c r="V22" s="25" t="s">
        <v>225</v>
      </c>
      <c r="W22" s="25" t="s">
        <v>225</v>
      </c>
      <c r="X22" s="25" t="s">
        <v>225</v>
      </c>
      <c r="Y22" s="25" t="s">
        <v>225</v>
      </c>
      <c r="Z22" s="25" t="s">
        <v>225</v>
      </c>
      <c r="AA22" s="25" t="s">
        <v>225</v>
      </c>
    </row>
    <row r="23" spans="1:27" x14ac:dyDescent="0.25">
      <c r="A23" s="25" t="s">
        <v>150</v>
      </c>
      <c r="B23" s="25" t="s">
        <v>225</v>
      </c>
      <c r="C23" s="25" t="s">
        <v>225</v>
      </c>
      <c r="D23" s="25" t="s">
        <v>225</v>
      </c>
      <c r="E23" s="25" t="s">
        <v>225</v>
      </c>
      <c r="F23" s="25" t="s">
        <v>225</v>
      </c>
      <c r="G23" s="25" t="s">
        <v>225</v>
      </c>
      <c r="H23" s="25" t="s">
        <v>225</v>
      </c>
      <c r="I23" s="25" t="s">
        <v>225</v>
      </c>
      <c r="J23" s="25" t="s">
        <v>225</v>
      </c>
      <c r="K23" s="25" t="s">
        <v>225</v>
      </c>
      <c r="L23" s="25" t="s">
        <v>225</v>
      </c>
      <c r="M23" s="25" t="s">
        <v>225</v>
      </c>
      <c r="N23" s="25" t="s">
        <v>225</v>
      </c>
      <c r="O23" s="25" t="s">
        <v>225</v>
      </c>
      <c r="P23" s="25" t="s">
        <v>225</v>
      </c>
      <c r="Q23" s="25" t="s">
        <v>225</v>
      </c>
      <c r="R23" s="25" t="s">
        <v>225</v>
      </c>
      <c r="S23" s="25" t="s">
        <v>225</v>
      </c>
      <c r="T23" s="25" t="s">
        <v>225</v>
      </c>
      <c r="U23" s="25" t="s">
        <v>225</v>
      </c>
      <c r="V23" s="25" t="s">
        <v>602</v>
      </c>
      <c r="W23" s="25" t="s">
        <v>603</v>
      </c>
      <c r="X23" s="25" t="s">
        <v>604</v>
      </c>
      <c r="Y23" s="25" t="s">
        <v>605</v>
      </c>
      <c r="Z23" s="25" t="s">
        <v>606</v>
      </c>
      <c r="AA23" s="25" t="s">
        <v>607</v>
      </c>
    </row>
  </sheetData>
  <hyperlinks>
    <hyperlink ref="A1" location="Inhalt!A1" display="zurück Zur Übersicht"/>
  </hyperlink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L22"/>
  <sheetViews>
    <sheetView topLeftCell="J1" workbookViewId="0">
      <selection activeCell="AL12" sqref="AL12"/>
    </sheetView>
  </sheetViews>
  <sheetFormatPr baseColWidth="10" defaultRowHeight="15" x14ac:dyDescent="0.25"/>
  <cols>
    <col min="1" max="1" width="19.5703125" customWidth="1"/>
    <col min="2" max="2" width="7.28515625" customWidth="1"/>
    <col min="3" max="36" width="7.28515625" bestFit="1" customWidth="1"/>
    <col min="37" max="38" width="7.28515625" customWidth="1"/>
    <col min="39" max="41" width="5" bestFit="1" customWidth="1"/>
  </cols>
  <sheetData>
    <row r="1" spans="1:38" ht="21" x14ac:dyDescent="0.35">
      <c r="A1" s="10" t="s">
        <v>212</v>
      </c>
      <c r="B1" s="11" t="s">
        <v>51</v>
      </c>
    </row>
    <row r="2" spans="1:38" x14ac:dyDescent="0.25">
      <c r="A2" t="s">
        <v>172</v>
      </c>
      <c r="B2" t="s">
        <v>151</v>
      </c>
    </row>
    <row r="3" spans="1:38" x14ac:dyDescent="0.25">
      <c r="A3" t="s">
        <v>173</v>
      </c>
      <c r="B3">
        <v>2</v>
      </c>
    </row>
    <row r="4" spans="1:38" x14ac:dyDescent="0.25">
      <c r="A4" t="s">
        <v>41</v>
      </c>
    </row>
    <row r="5" spans="1:38" ht="15.75" x14ac:dyDescent="0.25">
      <c r="A5" s="26">
        <v>44860</v>
      </c>
    </row>
    <row r="7" spans="1:38" x14ac:dyDescent="0.25">
      <c r="B7">
        <v>1986</v>
      </c>
      <c r="C7">
        <v>1987</v>
      </c>
      <c r="D7">
        <v>1988</v>
      </c>
      <c r="E7">
        <v>1989</v>
      </c>
      <c r="F7">
        <v>1990</v>
      </c>
      <c r="G7">
        <v>1991</v>
      </c>
      <c r="H7">
        <v>1992</v>
      </c>
      <c r="I7">
        <v>1993</v>
      </c>
      <c r="J7">
        <v>1994</v>
      </c>
      <c r="K7">
        <v>1995</v>
      </c>
      <c r="L7">
        <v>1996</v>
      </c>
      <c r="M7">
        <v>1997</v>
      </c>
      <c r="N7">
        <v>1998</v>
      </c>
      <c r="O7">
        <v>1999</v>
      </c>
      <c r="P7">
        <v>2000</v>
      </c>
      <c r="Q7">
        <v>2001</v>
      </c>
      <c r="R7">
        <v>2002</v>
      </c>
      <c r="S7">
        <v>2003</v>
      </c>
      <c r="T7">
        <v>2004</v>
      </c>
      <c r="U7">
        <v>2005</v>
      </c>
      <c r="V7">
        <v>2006</v>
      </c>
      <c r="W7">
        <v>2007</v>
      </c>
      <c r="X7">
        <v>2008</v>
      </c>
      <c r="Y7">
        <v>2009</v>
      </c>
      <c r="Z7">
        <v>2010</v>
      </c>
      <c r="AA7">
        <v>2011</v>
      </c>
      <c r="AB7">
        <v>2012</v>
      </c>
      <c r="AC7">
        <v>2013</v>
      </c>
      <c r="AD7">
        <v>2014</v>
      </c>
      <c r="AE7">
        <v>2015</v>
      </c>
      <c r="AF7">
        <v>2016</v>
      </c>
      <c r="AG7">
        <v>2017</v>
      </c>
      <c r="AH7">
        <v>2018</v>
      </c>
      <c r="AI7">
        <v>2019</v>
      </c>
      <c r="AJ7">
        <v>2020</v>
      </c>
      <c r="AK7">
        <v>2021</v>
      </c>
      <c r="AL7">
        <v>2022</v>
      </c>
    </row>
    <row r="8" spans="1:38" s="3" customFormat="1" x14ac:dyDescent="0.25">
      <c r="A8" s="3" t="s">
        <v>18</v>
      </c>
      <c r="B8" s="3">
        <f>IFERROR(abw_05_schwermetalleintrag[1986]/1,"")</f>
        <v>1</v>
      </c>
      <c r="C8" s="3">
        <f>IFERROR(abw_05_schwermetalleintrag[1987]/1,"")</f>
        <v>1.07</v>
      </c>
      <c r="D8" s="3">
        <f>IFERROR(abw_05_schwermetalleintrag[1988]/1,"")</f>
        <v>0.78</v>
      </c>
      <c r="E8" s="3">
        <f>IFERROR(abw_05_schwermetalleintrag[1989]/1,"")</f>
        <v>0.72</v>
      </c>
      <c r="F8" s="3">
        <f>IFERROR(abw_05_schwermetalleintrag[1990]/1,"")</f>
        <v>0.67</v>
      </c>
      <c r="G8" s="3" t="str">
        <f>IFERROR(abw_05_schwermetalleintrag[1991]/1,"")</f>
        <v/>
      </c>
      <c r="H8" s="3">
        <f>IFERROR(abw_05_schwermetalleintrag[1992]/1,"")</f>
        <v>0.59</v>
      </c>
      <c r="I8" s="3">
        <f>IFERROR(abw_05_schwermetalleintrag[1993]/1,"")</f>
        <v>0.6</v>
      </c>
      <c r="J8" s="3">
        <f>IFERROR(abw_05_schwermetalleintrag[1994]/1,"")</f>
        <v>0.52</v>
      </c>
      <c r="K8" s="3">
        <f>IFERROR(abw_05_schwermetalleintrag[1995]/1,"")</f>
        <v>0.48</v>
      </c>
      <c r="L8" s="3">
        <f>IFERROR(abw_05_schwermetalleintrag[1996]/1,"")</f>
        <v>0.47</v>
      </c>
      <c r="M8" s="3">
        <f>IFERROR(abw_05_schwermetalleintrag[1997]/1,"")</f>
        <v>0.43</v>
      </c>
      <c r="N8" s="3">
        <f>IFERROR(abw_05_schwermetalleintrag[1998]/1,"")</f>
        <v>0.51</v>
      </c>
      <c r="O8" s="3">
        <f>IFERROR(abw_05_schwermetalleintrag[1999]/1,"")</f>
        <v>0.32</v>
      </c>
      <c r="P8" s="3">
        <f>IFERROR(abw_05_schwermetalleintrag[2000]/1,"")</f>
        <v>0.35</v>
      </c>
      <c r="Q8" s="3">
        <f>IFERROR(abw_05_schwermetalleintrag[2001]/1,"")</f>
        <v>0.28999999999999998</v>
      </c>
      <c r="R8" s="3">
        <f>IFERROR(abw_05_schwermetalleintrag[2002]/1,"")</f>
        <v>0.3</v>
      </c>
      <c r="S8" s="3">
        <f>IFERROR(abw_05_schwermetalleintrag[2003]/1,"")</f>
        <v>0.25</v>
      </c>
      <c r="T8" s="3">
        <f>IFERROR(abw_05_schwermetalleintrag[2004]/1,"")</f>
        <v>0.36</v>
      </c>
      <c r="U8" s="3">
        <f>IFERROR(abw_05_schwermetalleintrag[2005]/1,"")</f>
        <v>0.32</v>
      </c>
      <c r="V8" s="3">
        <f>IFERROR(abw_05_schwermetalleintrag[2006]/1,"")</f>
        <v>0.27</v>
      </c>
      <c r="W8" s="3">
        <f>IFERROR(abw_05_schwermetalleintrag[2007]/1,"")</f>
        <v>0.2</v>
      </c>
      <c r="X8" s="3">
        <f>IFERROR(abw_05_schwermetalleintrag[2008]/1,"")</f>
        <v>0.2</v>
      </c>
      <c r="Y8" s="3">
        <f>IFERROR(abw_05_schwermetalleintrag[2009]/1,"")</f>
        <v>0.17</v>
      </c>
      <c r="Z8" s="3">
        <f>IFERROR(abw_05_schwermetalleintrag[2010]/1,"")</f>
        <v>0.15</v>
      </c>
      <c r="AA8" s="3">
        <f>IFERROR(abw_05_schwermetalleintrag[2011]/1,"")</f>
        <v>0.13</v>
      </c>
      <c r="AB8" s="3">
        <f>IFERROR(abw_05_schwermetalleintrag[2012]/1,"")</f>
        <v>0.12</v>
      </c>
      <c r="AC8" s="3">
        <f>IFERROR(abw_05_schwermetalleintrag[2013]/1,"")</f>
        <v>0.15</v>
      </c>
      <c r="AD8" s="3">
        <f>IFERROR(abw_05_schwermetalleintrag[2014]/1,"")</f>
        <v>0.1</v>
      </c>
      <c r="AE8" s="3">
        <f>IFERROR(abw_05_schwermetalleintrag[2015]/1,"")</f>
        <v>0.12</v>
      </c>
      <c r="AF8" s="3">
        <f>IFERROR(abw_05_schwermetalleintrag[2016]/1,"")</f>
        <v>0.08</v>
      </c>
      <c r="AG8" s="3">
        <f>IFERROR(abw_05_schwermetalleintrag[2017]/1,"")</f>
        <v>0.11</v>
      </c>
      <c r="AH8" s="3">
        <f>IFERROR(abw_05_schwermetalleintrag[2018]/1,"")</f>
        <v>0.15</v>
      </c>
      <c r="AI8" s="3">
        <f>IFERROR(abw_05_schwermetalleintrag[2019]/1,"")</f>
        <v>0.17</v>
      </c>
      <c r="AJ8" s="3">
        <f>IFERROR(abw_05_schwermetalleintrag[2020]/1,"")</f>
        <v>0.11</v>
      </c>
      <c r="AK8" s="3">
        <f>IFERROR(abw_05_schwermetalleintrag[2021]/1,"")</f>
        <v>0.09</v>
      </c>
      <c r="AL8" s="3">
        <f>IFERROR(abw_05_schwermetalleintrag[2022]/1,"")</f>
        <v>0.06</v>
      </c>
    </row>
    <row r="21" spans="1:38" x14ac:dyDescent="0.25">
      <c r="A21" s="25" t="s">
        <v>224</v>
      </c>
      <c r="B21" s="25" t="s">
        <v>107</v>
      </c>
      <c r="C21" s="25" t="s">
        <v>108</v>
      </c>
      <c r="D21" s="25" t="s">
        <v>109</v>
      </c>
      <c r="E21" s="25" t="s">
        <v>110</v>
      </c>
      <c r="F21" s="25" t="s">
        <v>111</v>
      </c>
      <c r="G21" s="25" t="s">
        <v>112</v>
      </c>
      <c r="H21" s="25" t="s">
        <v>113</v>
      </c>
      <c r="I21" s="25" t="s">
        <v>114</v>
      </c>
      <c r="J21" s="25" t="s">
        <v>115</v>
      </c>
      <c r="K21" s="25" t="s">
        <v>116</v>
      </c>
      <c r="L21" s="25" t="s">
        <v>117</v>
      </c>
      <c r="M21" s="25" t="s">
        <v>118</v>
      </c>
      <c r="N21" s="25" t="s">
        <v>119</v>
      </c>
      <c r="O21" s="25" t="s">
        <v>120</v>
      </c>
      <c r="P21" s="25" t="s">
        <v>121</v>
      </c>
      <c r="Q21" s="25" t="s">
        <v>122</v>
      </c>
      <c r="R21" s="25" t="s">
        <v>123</v>
      </c>
      <c r="S21" s="25" t="s">
        <v>124</v>
      </c>
      <c r="T21" s="25" t="s">
        <v>125</v>
      </c>
      <c r="U21" s="25" t="s">
        <v>126</v>
      </c>
      <c r="V21" s="25" t="s">
        <v>127</v>
      </c>
      <c r="W21" s="25" t="s">
        <v>128</v>
      </c>
      <c r="X21" s="25" t="s">
        <v>129</v>
      </c>
      <c r="Y21" s="25" t="s">
        <v>130</v>
      </c>
      <c r="Z21" s="25" t="s">
        <v>131</v>
      </c>
      <c r="AA21" s="25" t="s">
        <v>132</v>
      </c>
      <c r="AB21" s="25" t="s">
        <v>133</v>
      </c>
      <c r="AC21" s="25" t="s">
        <v>134</v>
      </c>
      <c r="AD21" s="25" t="s">
        <v>135</v>
      </c>
      <c r="AE21" s="25" t="s">
        <v>136</v>
      </c>
      <c r="AF21" s="25" t="s">
        <v>137</v>
      </c>
      <c r="AG21" s="25" t="s">
        <v>138</v>
      </c>
      <c r="AH21" s="25" t="s">
        <v>139</v>
      </c>
      <c r="AI21" s="25" t="s">
        <v>140</v>
      </c>
      <c r="AJ21" s="25" t="s">
        <v>141</v>
      </c>
      <c r="AK21" s="25" t="s">
        <v>214</v>
      </c>
      <c r="AL21" s="25" t="s">
        <v>875</v>
      </c>
    </row>
    <row r="22" spans="1:38" x14ac:dyDescent="0.25">
      <c r="A22" s="25" t="s">
        <v>18</v>
      </c>
      <c r="B22" s="25" t="s">
        <v>608</v>
      </c>
      <c r="C22" s="25" t="s">
        <v>609</v>
      </c>
      <c r="D22" s="25" t="s">
        <v>610</v>
      </c>
      <c r="E22" s="25" t="s">
        <v>611</v>
      </c>
      <c r="F22" s="25" t="s">
        <v>612</v>
      </c>
      <c r="G22" s="25" t="s">
        <v>225</v>
      </c>
      <c r="H22" s="25" t="s">
        <v>613</v>
      </c>
      <c r="I22" s="25" t="s">
        <v>614</v>
      </c>
      <c r="J22" s="25" t="s">
        <v>615</v>
      </c>
      <c r="K22" s="25" t="s">
        <v>616</v>
      </c>
      <c r="L22" s="25" t="s">
        <v>617</v>
      </c>
      <c r="M22" s="25" t="s">
        <v>618</v>
      </c>
      <c r="N22" s="25" t="s">
        <v>619</v>
      </c>
      <c r="O22" s="25" t="s">
        <v>620</v>
      </c>
      <c r="P22" s="25" t="s">
        <v>621</v>
      </c>
      <c r="Q22" s="25" t="s">
        <v>622</v>
      </c>
      <c r="R22" s="25" t="s">
        <v>623</v>
      </c>
      <c r="S22" s="25" t="s">
        <v>624</v>
      </c>
      <c r="T22" s="25" t="s">
        <v>625</v>
      </c>
      <c r="U22" s="25" t="s">
        <v>620</v>
      </c>
      <c r="V22" s="25" t="s">
        <v>626</v>
      </c>
      <c r="W22" s="25" t="s">
        <v>627</v>
      </c>
      <c r="X22" s="25" t="s">
        <v>627</v>
      </c>
      <c r="Y22" s="25" t="s">
        <v>628</v>
      </c>
      <c r="Z22" s="25" t="s">
        <v>629</v>
      </c>
      <c r="AA22" s="25" t="s">
        <v>630</v>
      </c>
      <c r="AB22" s="25" t="s">
        <v>631</v>
      </c>
      <c r="AC22" s="25" t="s">
        <v>629</v>
      </c>
      <c r="AD22" s="25" t="s">
        <v>632</v>
      </c>
      <c r="AE22" s="25" t="s">
        <v>631</v>
      </c>
      <c r="AF22" s="25" t="s">
        <v>633</v>
      </c>
      <c r="AG22" s="25" t="s">
        <v>634</v>
      </c>
      <c r="AH22" s="25" t="s">
        <v>629</v>
      </c>
      <c r="AI22" s="25" t="s">
        <v>628</v>
      </c>
      <c r="AJ22" s="25" t="s">
        <v>634</v>
      </c>
      <c r="AK22" s="25" t="s">
        <v>877</v>
      </c>
      <c r="AL22" s="25" t="s">
        <v>878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C25"/>
  <sheetViews>
    <sheetView workbookViewId="0">
      <selection activeCell="A21" sqref="A21:C25"/>
    </sheetView>
  </sheetViews>
  <sheetFormatPr baseColWidth="10" defaultRowHeight="15" x14ac:dyDescent="0.25"/>
  <cols>
    <col min="1" max="1" width="88.28515625" customWidth="1"/>
    <col min="2" max="3" width="12" customWidth="1"/>
  </cols>
  <sheetData>
    <row r="1" spans="1:3" ht="21" x14ac:dyDescent="0.35">
      <c r="A1" s="10" t="s">
        <v>212</v>
      </c>
      <c r="B1" s="11" t="s">
        <v>52</v>
      </c>
    </row>
    <row r="2" spans="1:3" x14ac:dyDescent="0.25">
      <c r="A2" t="s">
        <v>172</v>
      </c>
    </row>
    <row r="3" spans="1:3" x14ac:dyDescent="0.25">
      <c r="A3" t="s">
        <v>173</v>
      </c>
      <c r="B3">
        <v>1</v>
      </c>
    </row>
    <row r="4" spans="1:3" x14ac:dyDescent="0.25">
      <c r="A4" t="s">
        <v>41</v>
      </c>
    </row>
    <row r="5" spans="1:3" ht="15.75" x14ac:dyDescent="0.25">
      <c r="A5" s="26">
        <v>44605</v>
      </c>
    </row>
    <row r="7" spans="1:3" x14ac:dyDescent="0.25">
      <c r="B7" t="s">
        <v>70</v>
      </c>
      <c r="C7" t="s">
        <v>71</v>
      </c>
    </row>
    <row r="8" spans="1:3" s="2" customFormat="1" x14ac:dyDescent="0.25">
      <c r="A8" s="2" t="s">
        <v>177</v>
      </c>
      <c r="B8" s="2">
        <f>IFERROR(B22/1,"")</f>
        <v>54.6</v>
      </c>
      <c r="C8" s="2">
        <f>IFERROR(C22/1,"")</f>
        <v>53.9</v>
      </c>
    </row>
    <row r="9" spans="1:3" s="2" customFormat="1" x14ac:dyDescent="0.25">
      <c r="A9" s="2" t="s">
        <v>174</v>
      </c>
      <c r="B9" s="2">
        <f t="shared" ref="B9:C11" si="0">IFERROR(B23/1,"")</f>
        <v>35.9</v>
      </c>
      <c r="C9" s="2">
        <f t="shared" si="0"/>
        <v>35.700000000000003</v>
      </c>
    </row>
    <row r="10" spans="1:3" s="2" customFormat="1" x14ac:dyDescent="0.25">
      <c r="A10" s="2" t="s">
        <v>176</v>
      </c>
      <c r="B10" s="2">
        <f t="shared" si="0"/>
        <v>0.6</v>
      </c>
      <c r="C10" s="2">
        <f t="shared" si="0"/>
        <v>1.6</v>
      </c>
    </row>
    <row r="11" spans="1:3" s="2" customFormat="1" x14ac:dyDescent="0.25">
      <c r="A11" s="2" t="s">
        <v>175</v>
      </c>
      <c r="B11" s="2">
        <f t="shared" si="0"/>
        <v>8.8000000000000007</v>
      </c>
      <c r="C11" s="2">
        <f t="shared" si="0"/>
        <v>8.8000000000000007</v>
      </c>
    </row>
    <row r="21" spans="1:3" x14ac:dyDescent="0.25">
      <c r="A21" s="25" t="s">
        <v>224</v>
      </c>
      <c r="B21" s="25" t="s">
        <v>70</v>
      </c>
      <c r="C21" s="25" t="s">
        <v>71</v>
      </c>
    </row>
    <row r="22" spans="1:3" x14ac:dyDescent="0.25">
      <c r="A22" s="25" t="s">
        <v>635</v>
      </c>
      <c r="B22" s="25" t="s">
        <v>259</v>
      </c>
      <c r="C22" s="25" t="s">
        <v>636</v>
      </c>
    </row>
    <row r="23" spans="1:3" x14ac:dyDescent="0.25">
      <c r="A23" s="25" t="s">
        <v>637</v>
      </c>
      <c r="B23" s="25" t="s">
        <v>638</v>
      </c>
      <c r="C23" s="25" t="s">
        <v>289</v>
      </c>
    </row>
    <row r="24" spans="1:3" x14ac:dyDescent="0.25">
      <c r="A24" s="25" t="s">
        <v>639</v>
      </c>
      <c r="B24" s="25" t="s">
        <v>342</v>
      </c>
      <c r="C24" s="25" t="s">
        <v>640</v>
      </c>
    </row>
    <row r="25" spans="1:3" x14ac:dyDescent="0.25">
      <c r="A25" s="25" t="s">
        <v>641</v>
      </c>
      <c r="B25" s="25" t="s">
        <v>642</v>
      </c>
      <c r="C25" s="25" t="s">
        <v>642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O22"/>
  <sheetViews>
    <sheetView workbookViewId="0">
      <selection activeCell="A21" sqref="A21:O22"/>
    </sheetView>
  </sheetViews>
  <sheetFormatPr baseColWidth="10" defaultRowHeight="15" x14ac:dyDescent="0.25"/>
  <cols>
    <col min="1" max="1" width="50.42578125" customWidth="1"/>
    <col min="2" max="15" width="7.28515625" customWidth="1"/>
    <col min="16" max="20" width="6.7109375" customWidth="1"/>
  </cols>
  <sheetData>
    <row r="1" spans="1:15" ht="21" x14ac:dyDescent="0.35">
      <c r="A1" s="10" t="s">
        <v>212</v>
      </c>
      <c r="B1" s="11" t="s">
        <v>53</v>
      </c>
    </row>
    <row r="2" spans="1:15" x14ac:dyDescent="0.25">
      <c r="A2" t="s">
        <v>172</v>
      </c>
      <c r="B2" t="s">
        <v>20</v>
      </c>
    </row>
    <row r="3" spans="1:15" x14ac:dyDescent="0.25">
      <c r="A3" t="s">
        <v>173</v>
      </c>
      <c r="B3">
        <v>1</v>
      </c>
    </row>
    <row r="4" spans="1:15" x14ac:dyDescent="0.25">
      <c r="A4" t="s">
        <v>41</v>
      </c>
    </row>
    <row r="5" spans="1:15" ht="15.75" x14ac:dyDescent="0.25">
      <c r="A5" s="26">
        <v>44860</v>
      </c>
    </row>
    <row r="7" spans="1:15" x14ac:dyDescent="0.25">
      <c r="B7">
        <v>2008</v>
      </c>
      <c r="C7">
        <v>2009</v>
      </c>
      <c r="D7">
        <v>2010</v>
      </c>
      <c r="E7">
        <v>2011</v>
      </c>
      <c r="F7">
        <v>2012</v>
      </c>
      <c r="G7">
        <v>2013</v>
      </c>
      <c r="H7">
        <v>2014</v>
      </c>
      <c r="I7">
        <v>2015</v>
      </c>
      <c r="J7">
        <v>2016</v>
      </c>
      <c r="K7">
        <v>2017</v>
      </c>
      <c r="L7">
        <v>2018</v>
      </c>
      <c r="M7">
        <v>2019</v>
      </c>
      <c r="N7">
        <v>2020</v>
      </c>
      <c r="O7">
        <v>2021</v>
      </c>
    </row>
    <row r="8" spans="1:15" s="3" customFormat="1" x14ac:dyDescent="0.25">
      <c r="A8" s="3" t="s">
        <v>19</v>
      </c>
      <c r="B8" s="2">
        <f>IFERROR(abw_07_nitrat_grundwasser[2008]/1,"")</f>
        <v>17.899999999999999</v>
      </c>
      <c r="C8" s="2">
        <f>IFERROR(abw_07_nitrat_grundwasser[2009]/1,"")</f>
        <v>15.5</v>
      </c>
      <c r="D8" s="2">
        <f>IFERROR(abw_07_nitrat_grundwasser[2010]/1,"")</f>
        <v>17.100000000000001</v>
      </c>
      <c r="E8" s="2">
        <f>IFERROR(abw_07_nitrat_grundwasser[2011]/1,"")</f>
        <v>15.7</v>
      </c>
      <c r="F8" s="2">
        <f>IFERROR(abw_07_nitrat_grundwasser[2012]/1,"")</f>
        <v>16.899999999999999</v>
      </c>
      <c r="G8" s="2">
        <f>IFERROR(abw_07_nitrat_grundwasser[2013]/1,"")</f>
        <v>15.9</v>
      </c>
      <c r="H8" s="2">
        <f>IFERROR(abw_07_nitrat_grundwasser[2014]/1,"")</f>
        <v>16.5</v>
      </c>
      <c r="I8" s="2">
        <f>IFERROR(abw_07_nitrat_grundwasser[2015]/1,"")</f>
        <v>13.5</v>
      </c>
      <c r="J8" s="2">
        <f>IFERROR(abw_07_nitrat_grundwasser[2016]/1,"")</f>
        <v>13.3</v>
      </c>
      <c r="K8" s="2">
        <f>IFERROR(abw_07_nitrat_grundwasser[2017]/1,"")</f>
        <v>12.2</v>
      </c>
      <c r="L8" s="2">
        <f>IFERROR(abw_07_nitrat_grundwasser[2018]/1,"")</f>
        <v>14.9</v>
      </c>
      <c r="M8" s="2">
        <f>IFERROR(abw_07_nitrat_grundwasser[2019]/1,"")</f>
        <v>14.6</v>
      </c>
      <c r="N8" s="2">
        <f>IFERROR(abw_07_nitrat_grundwasser[2020]/1,"")</f>
        <v>14.7</v>
      </c>
      <c r="O8" s="2">
        <f>IFERROR(abw_07_nitrat_grundwasser[2021]/1,"")</f>
        <v>14</v>
      </c>
    </row>
    <row r="21" spans="1:15" x14ac:dyDescent="0.25">
      <c r="A21" s="25" t="s">
        <v>224</v>
      </c>
      <c r="B21" s="25" t="s">
        <v>129</v>
      </c>
      <c r="C21" s="25" t="s">
        <v>130</v>
      </c>
      <c r="D21" s="25" t="s">
        <v>131</v>
      </c>
      <c r="E21" s="25" t="s">
        <v>132</v>
      </c>
      <c r="F21" s="25" t="s">
        <v>133</v>
      </c>
      <c r="G21" s="25" t="s">
        <v>134</v>
      </c>
      <c r="H21" s="25" t="s">
        <v>135</v>
      </c>
      <c r="I21" s="25" t="s">
        <v>136</v>
      </c>
      <c r="J21" s="25" t="s">
        <v>137</v>
      </c>
      <c r="K21" s="25" t="s">
        <v>138</v>
      </c>
      <c r="L21" s="25" t="s">
        <v>139</v>
      </c>
      <c r="M21" s="25" t="s">
        <v>140</v>
      </c>
      <c r="N21" s="25" t="s">
        <v>141</v>
      </c>
      <c r="O21" s="25" t="s">
        <v>214</v>
      </c>
    </row>
    <row r="22" spans="1:15" x14ac:dyDescent="0.25">
      <c r="A22" s="25" t="s">
        <v>19</v>
      </c>
      <c r="B22" s="25" t="s">
        <v>643</v>
      </c>
      <c r="C22" s="25" t="s">
        <v>366</v>
      </c>
      <c r="D22" s="25" t="s">
        <v>644</v>
      </c>
      <c r="E22" s="25" t="s">
        <v>645</v>
      </c>
      <c r="F22" s="25" t="s">
        <v>646</v>
      </c>
      <c r="G22" s="25" t="s">
        <v>647</v>
      </c>
      <c r="H22" s="25" t="s">
        <v>648</v>
      </c>
      <c r="I22" s="25" t="s">
        <v>649</v>
      </c>
      <c r="J22" s="25" t="s">
        <v>565</v>
      </c>
      <c r="K22" s="25" t="s">
        <v>650</v>
      </c>
      <c r="L22" s="25" t="s">
        <v>368</v>
      </c>
      <c r="M22" s="25" t="s">
        <v>651</v>
      </c>
      <c r="N22" s="25" t="s">
        <v>652</v>
      </c>
      <c r="O22" s="25" t="s">
        <v>367</v>
      </c>
    </row>
  </sheetData>
  <hyperlinks>
    <hyperlink ref="A1" location="Inhalt!A1" display="zurück Zur Übersicht"/>
  </hyperlink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29"/>
  <sheetViews>
    <sheetView workbookViewId="0">
      <selection activeCell="A21" sqref="A21:H29"/>
    </sheetView>
  </sheetViews>
  <sheetFormatPr baseColWidth="10" defaultRowHeight="15" x14ac:dyDescent="0.25"/>
  <cols>
    <col min="1" max="1" width="11.28515625" customWidth="1"/>
    <col min="2" max="2" width="31.28515625" bestFit="1" customWidth="1"/>
    <col min="3" max="3" width="35.85546875" bestFit="1" customWidth="1"/>
    <col min="4" max="4" width="31.140625" bestFit="1" customWidth="1"/>
    <col min="5" max="5" width="25.85546875" bestFit="1" customWidth="1"/>
    <col min="6" max="6" width="16.85546875" bestFit="1" customWidth="1"/>
    <col min="7" max="7" width="12.42578125" bestFit="1" customWidth="1"/>
    <col min="8" max="8" width="24.140625" bestFit="1" customWidth="1"/>
  </cols>
  <sheetData>
    <row r="1" spans="1:8" ht="21" x14ac:dyDescent="0.35">
      <c r="A1" s="10" t="s">
        <v>212</v>
      </c>
      <c r="B1" s="11" t="s">
        <v>54</v>
      </c>
    </row>
    <row r="2" spans="1:8" x14ac:dyDescent="0.25">
      <c r="A2" t="s">
        <v>172</v>
      </c>
      <c r="B2" t="s">
        <v>28</v>
      </c>
    </row>
    <row r="3" spans="1:8" x14ac:dyDescent="0.25">
      <c r="A3" t="s">
        <v>173</v>
      </c>
      <c r="B3">
        <v>1</v>
      </c>
    </row>
    <row r="4" spans="1:8" x14ac:dyDescent="0.25">
      <c r="A4" t="s">
        <v>41</v>
      </c>
    </row>
    <row r="5" spans="1:8" ht="15.75" x14ac:dyDescent="0.25">
      <c r="A5" s="26">
        <v>44605</v>
      </c>
    </row>
    <row r="7" spans="1:8" x14ac:dyDescent="0.25">
      <c r="B7" t="s">
        <v>21</v>
      </c>
      <c r="C7" t="s">
        <v>22</v>
      </c>
      <c r="D7" t="s">
        <v>23</v>
      </c>
      <c r="E7" t="s">
        <v>24</v>
      </c>
      <c r="F7" t="s">
        <v>25</v>
      </c>
      <c r="G7" t="s">
        <v>26</v>
      </c>
      <c r="H7" t="s">
        <v>27</v>
      </c>
    </row>
    <row r="8" spans="1:8" s="2" customFormat="1" ht="30" x14ac:dyDescent="0.25">
      <c r="A8" s="6" t="s">
        <v>56</v>
      </c>
      <c r="B8" s="2">
        <f>IFERROR(B23/1,"")</f>
        <v>5</v>
      </c>
      <c r="C8" s="2">
        <f t="shared" ref="C8:H8" si="0">IFERROR(C23/1,"")</f>
        <v>0</v>
      </c>
      <c r="D8" s="2">
        <f t="shared" si="0"/>
        <v>0</v>
      </c>
      <c r="E8" s="2">
        <f t="shared" si="0"/>
        <v>8.8000000000000007</v>
      </c>
      <c r="F8" s="2">
        <f t="shared" si="0"/>
        <v>11.1</v>
      </c>
      <c r="G8" s="2">
        <f t="shared" si="0"/>
        <v>13</v>
      </c>
      <c r="H8" s="2">
        <f t="shared" si="0"/>
        <v>62.2</v>
      </c>
    </row>
    <row r="9" spans="1:8" s="2" customFormat="1" ht="30" x14ac:dyDescent="0.25">
      <c r="A9" s="6" t="s">
        <v>57</v>
      </c>
      <c r="B9" s="2">
        <f>IFERROR(B25/1,"")</f>
        <v>6.3</v>
      </c>
      <c r="C9" s="2">
        <f t="shared" ref="C9:H9" si="1">IFERROR(C25/1,"")</f>
        <v>0</v>
      </c>
      <c r="D9" s="2">
        <f t="shared" si="1"/>
        <v>0</v>
      </c>
      <c r="E9" s="2">
        <f t="shared" si="1"/>
        <v>10.9</v>
      </c>
      <c r="F9" s="2">
        <f t="shared" si="1"/>
        <v>13.3</v>
      </c>
      <c r="G9" s="2">
        <f t="shared" si="1"/>
        <v>12.7</v>
      </c>
      <c r="H9" s="2">
        <f t="shared" si="1"/>
        <v>56.9</v>
      </c>
    </row>
    <row r="10" spans="1:8" s="2" customFormat="1" ht="30" x14ac:dyDescent="0.25">
      <c r="A10" s="6" t="s">
        <v>58</v>
      </c>
      <c r="B10" s="2">
        <f>IFERROR(B27/1,"")</f>
        <v>8.1999999999999993</v>
      </c>
      <c r="C10" s="2">
        <f t="shared" ref="C10:H10" si="2">IFERROR(C27/1,"")</f>
        <v>2.6</v>
      </c>
      <c r="D10" s="2">
        <f t="shared" si="2"/>
        <v>0</v>
      </c>
      <c r="E10" s="2">
        <f t="shared" si="2"/>
        <v>9.1</v>
      </c>
      <c r="F10" s="2">
        <f t="shared" si="2"/>
        <v>13</v>
      </c>
      <c r="G10" s="2">
        <f t="shared" si="2"/>
        <v>15.7</v>
      </c>
      <c r="H10" s="2">
        <f t="shared" si="2"/>
        <v>51.4</v>
      </c>
    </row>
    <row r="11" spans="1:8" s="2" customFormat="1" ht="30" x14ac:dyDescent="0.25">
      <c r="A11" s="6" t="s">
        <v>59</v>
      </c>
      <c r="B11" s="2">
        <f>IFERROR(B29/1,"")</f>
        <v>9.4</v>
      </c>
      <c r="C11" s="2">
        <f t="shared" ref="C11:H11" si="3">IFERROR(C29/1,"")</f>
        <v>1.7</v>
      </c>
      <c r="D11" s="2">
        <f t="shared" si="3"/>
        <v>0.7</v>
      </c>
      <c r="E11" s="2">
        <f t="shared" si="3"/>
        <v>8.6999999999999993</v>
      </c>
      <c r="F11" s="2">
        <f t="shared" si="3"/>
        <v>11.9</v>
      </c>
      <c r="G11" s="2">
        <f t="shared" si="3"/>
        <v>14.2</v>
      </c>
      <c r="H11" s="2">
        <f t="shared" si="3"/>
        <v>53.4</v>
      </c>
    </row>
    <row r="21" spans="1:8" x14ac:dyDescent="0.25">
      <c r="A21" s="25" t="s">
        <v>224</v>
      </c>
      <c r="B21" s="25" t="s">
        <v>21</v>
      </c>
      <c r="C21" s="25" t="s">
        <v>22</v>
      </c>
      <c r="D21" s="25" t="s">
        <v>23</v>
      </c>
      <c r="E21" s="25" t="s">
        <v>24</v>
      </c>
      <c r="F21" s="25" t="s">
        <v>25</v>
      </c>
      <c r="G21" s="25" t="s">
        <v>26</v>
      </c>
      <c r="H21" s="25" t="s">
        <v>27</v>
      </c>
    </row>
    <row r="22" spans="1:8" x14ac:dyDescent="0.25">
      <c r="A22" s="25" t="s">
        <v>653</v>
      </c>
      <c r="B22" s="25" t="s">
        <v>225</v>
      </c>
      <c r="C22" s="25" t="s">
        <v>225</v>
      </c>
      <c r="D22" s="25" t="s">
        <v>225</v>
      </c>
      <c r="E22" s="25" t="s">
        <v>225</v>
      </c>
      <c r="F22" s="25" t="s">
        <v>225</v>
      </c>
      <c r="G22" s="25" t="s">
        <v>225</v>
      </c>
      <c r="H22" s="25" t="s">
        <v>225</v>
      </c>
    </row>
    <row r="23" spans="1:8" x14ac:dyDescent="0.25">
      <c r="A23" s="25" t="s">
        <v>654</v>
      </c>
      <c r="B23" s="25" t="s">
        <v>314</v>
      </c>
      <c r="C23" s="25" t="s">
        <v>582</v>
      </c>
      <c r="D23" s="25" t="s">
        <v>582</v>
      </c>
      <c r="E23" s="25" t="s">
        <v>642</v>
      </c>
      <c r="F23" s="25" t="s">
        <v>655</v>
      </c>
      <c r="G23" s="25" t="s">
        <v>391</v>
      </c>
      <c r="H23" s="25" t="s">
        <v>656</v>
      </c>
    </row>
    <row r="24" spans="1:8" x14ac:dyDescent="0.25">
      <c r="A24" s="25" t="s">
        <v>657</v>
      </c>
      <c r="B24" s="25" t="s">
        <v>225</v>
      </c>
      <c r="C24" s="25" t="s">
        <v>225</v>
      </c>
      <c r="D24" s="25" t="s">
        <v>225</v>
      </c>
      <c r="E24" s="25" t="s">
        <v>225</v>
      </c>
      <c r="F24" s="25" t="s">
        <v>225</v>
      </c>
      <c r="G24" s="25" t="s">
        <v>225</v>
      </c>
      <c r="H24" s="25" t="s">
        <v>225</v>
      </c>
    </row>
    <row r="25" spans="1:8" x14ac:dyDescent="0.25">
      <c r="A25" s="25" t="s">
        <v>658</v>
      </c>
      <c r="B25" s="25" t="s">
        <v>583</v>
      </c>
      <c r="C25" s="25" t="s">
        <v>582</v>
      </c>
      <c r="D25" s="25" t="s">
        <v>582</v>
      </c>
      <c r="E25" s="25" t="s">
        <v>659</v>
      </c>
      <c r="F25" s="25" t="s">
        <v>565</v>
      </c>
      <c r="G25" s="25" t="s">
        <v>348</v>
      </c>
      <c r="H25" s="25" t="s">
        <v>660</v>
      </c>
    </row>
    <row r="26" spans="1:8" x14ac:dyDescent="0.25">
      <c r="A26" s="25" t="s">
        <v>661</v>
      </c>
      <c r="B26" s="25" t="s">
        <v>225</v>
      </c>
      <c r="C26" s="25" t="s">
        <v>225</v>
      </c>
      <c r="D26" s="25" t="s">
        <v>225</v>
      </c>
      <c r="E26" s="25" t="s">
        <v>225</v>
      </c>
      <c r="F26" s="25" t="s">
        <v>225</v>
      </c>
      <c r="G26" s="25" t="s">
        <v>225</v>
      </c>
      <c r="H26" s="25" t="s">
        <v>225</v>
      </c>
    </row>
    <row r="27" spans="1:8" x14ac:dyDescent="0.25">
      <c r="A27" s="25" t="s">
        <v>662</v>
      </c>
      <c r="B27" s="25" t="s">
        <v>663</v>
      </c>
      <c r="C27" s="25" t="s">
        <v>664</v>
      </c>
      <c r="D27" s="25" t="s">
        <v>582</v>
      </c>
      <c r="E27" s="25" t="s">
        <v>574</v>
      </c>
      <c r="F27" s="25" t="s">
        <v>391</v>
      </c>
      <c r="G27" s="25" t="s">
        <v>645</v>
      </c>
      <c r="H27" s="25" t="s">
        <v>665</v>
      </c>
    </row>
    <row r="28" spans="1:8" x14ac:dyDescent="0.25">
      <c r="A28" s="25" t="s">
        <v>666</v>
      </c>
      <c r="B28" s="25" t="s">
        <v>225</v>
      </c>
      <c r="C28" s="25" t="s">
        <v>225</v>
      </c>
      <c r="D28" s="25" t="s">
        <v>225</v>
      </c>
      <c r="E28" s="25" t="s">
        <v>225</v>
      </c>
      <c r="F28" s="25" t="s">
        <v>225</v>
      </c>
      <c r="G28" s="25" t="s">
        <v>225</v>
      </c>
      <c r="H28" s="25" t="s">
        <v>225</v>
      </c>
    </row>
    <row r="29" spans="1:8" x14ac:dyDescent="0.25">
      <c r="A29" s="25" t="s">
        <v>667</v>
      </c>
      <c r="B29" s="25" t="s">
        <v>668</v>
      </c>
      <c r="C29" s="25" t="s">
        <v>669</v>
      </c>
      <c r="D29" s="25" t="s">
        <v>341</v>
      </c>
      <c r="E29" s="25" t="s">
        <v>670</v>
      </c>
      <c r="F29" s="25" t="s">
        <v>671</v>
      </c>
      <c r="G29" s="25" t="s">
        <v>349</v>
      </c>
      <c r="H29" s="25" t="s">
        <v>672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CZ22"/>
  <sheetViews>
    <sheetView topLeftCell="BX1" workbookViewId="0">
      <selection activeCell="A21" sqref="A21:CZ22"/>
    </sheetView>
  </sheetViews>
  <sheetFormatPr baseColWidth="10" defaultRowHeight="15" x14ac:dyDescent="0.25"/>
  <cols>
    <col min="1" max="1" width="18.28515625" customWidth="1"/>
    <col min="2" max="2" width="7.28515625" customWidth="1"/>
    <col min="3" max="101" width="7.28515625" bestFit="1" customWidth="1"/>
    <col min="102" max="104" width="7.28515625" customWidth="1"/>
    <col min="105" max="108" width="6.5703125" customWidth="1"/>
  </cols>
  <sheetData>
    <row r="1" spans="1:104" ht="21" x14ac:dyDescent="0.35">
      <c r="A1" s="10" t="s">
        <v>212</v>
      </c>
      <c r="B1" s="11" t="s">
        <v>29</v>
      </c>
    </row>
    <row r="2" spans="1:104" x14ac:dyDescent="0.25">
      <c r="A2" t="s">
        <v>172</v>
      </c>
    </row>
    <row r="3" spans="1:104" x14ac:dyDescent="0.25">
      <c r="A3" t="s">
        <v>173</v>
      </c>
      <c r="B3">
        <v>2</v>
      </c>
    </row>
    <row r="4" spans="1:104" x14ac:dyDescent="0.25">
      <c r="A4" t="s">
        <v>41</v>
      </c>
    </row>
    <row r="5" spans="1:104" ht="15.75" x14ac:dyDescent="0.25">
      <c r="A5" s="26">
        <v>44656</v>
      </c>
    </row>
    <row r="7" spans="1:104" x14ac:dyDescent="0.25">
      <c r="B7">
        <v>1920</v>
      </c>
      <c r="C7">
        <v>1921</v>
      </c>
      <c r="D7">
        <v>1922</v>
      </c>
      <c r="E7">
        <v>1923</v>
      </c>
      <c r="F7">
        <v>1924</v>
      </c>
      <c r="G7">
        <v>1925</v>
      </c>
      <c r="H7">
        <v>1926</v>
      </c>
      <c r="I7">
        <v>1927</v>
      </c>
      <c r="J7">
        <v>1928</v>
      </c>
      <c r="K7">
        <v>1929</v>
      </c>
      <c r="L7">
        <v>1930</v>
      </c>
      <c r="M7">
        <v>1931</v>
      </c>
      <c r="N7">
        <v>1932</v>
      </c>
      <c r="O7">
        <v>1933</v>
      </c>
      <c r="P7">
        <v>1934</v>
      </c>
      <c r="Q7">
        <v>1935</v>
      </c>
      <c r="R7">
        <v>1936</v>
      </c>
      <c r="S7">
        <v>1937</v>
      </c>
      <c r="T7">
        <v>1938</v>
      </c>
      <c r="U7">
        <v>1939</v>
      </c>
      <c r="V7">
        <v>1940</v>
      </c>
      <c r="W7">
        <v>1941</v>
      </c>
      <c r="X7">
        <v>1942</v>
      </c>
      <c r="Y7">
        <v>1943</v>
      </c>
      <c r="Z7">
        <v>1944</v>
      </c>
      <c r="AA7">
        <v>1945</v>
      </c>
      <c r="AB7">
        <v>1946</v>
      </c>
      <c r="AC7">
        <v>1947</v>
      </c>
      <c r="AD7">
        <v>1948</v>
      </c>
      <c r="AE7">
        <v>1949</v>
      </c>
      <c r="AF7">
        <v>1950</v>
      </c>
      <c r="AG7">
        <v>1951</v>
      </c>
      <c r="AH7">
        <v>1952</v>
      </c>
      <c r="AI7">
        <v>1953</v>
      </c>
      <c r="AJ7">
        <v>1954</v>
      </c>
      <c r="AK7">
        <v>1955</v>
      </c>
      <c r="AL7">
        <v>1956</v>
      </c>
      <c r="AM7">
        <v>1957</v>
      </c>
      <c r="AN7">
        <v>1958</v>
      </c>
      <c r="AO7">
        <v>1959</v>
      </c>
      <c r="AP7">
        <v>1960</v>
      </c>
      <c r="AQ7">
        <v>1961</v>
      </c>
      <c r="AR7">
        <v>1962</v>
      </c>
      <c r="AS7">
        <v>1963</v>
      </c>
      <c r="AT7">
        <v>1964</v>
      </c>
      <c r="AU7">
        <v>1965</v>
      </c>
      <c r="AV7">
        <v>1966</v>
      </c>
      <c r="AW7">
        <v>1967</v>
      </c>
      <c r="AX7">
        <v>1968</v>
      </c>
      <c r="AY7">
        <v>1969</v>
      </c>
      <c r="AZ7">
        <v>1970</v>
      </c>
      <c r="BA7">
        <v>1971</v>
      </c>
      <c r="BB7">
        <v>1972</v>
      </c>
      <c r="BC7">
        <v>1973</v>
      </c>
      <c r="BD7">
        <v>1974</v>
      </c>
      <c r="BE7">
        <v>1975</v>
      </c>
      <c r="BF7">
        <v>1976</v>
      </c>
      <c r="BG7">
        <v>1977</v>
      </c>
      <c r="BH7">
        <v>1978</v>
      </c>
      <c r="BI7">
        <v>1979</v>
      </c>
      <c r="BJ7">
        <v>1980</v>
      </c>
      <c r="BK7">
        <v>1981</v>
      </c>
      <c r="BL7">
        <v>1982</v>
      </c>
      <c r="BM7">
        <v>1983</v>
      </c>
      <c r="BN7">
        <v>1984</v>
      </c>
      <c r="BO7">
        <v>1985</v>
      </c>
      <c r="BP7">
        <v>1986</v>
      </c>
      <c r="BQ7">
        <v>1987</v>
      </c>
      <c r="BR7">
        <v>1988</v>
      </c>
      <c r="BS7">
        <v>1989</v>
      </c>
      <c r="BT7">
        <v>1990</v>
      </c>
      <c r="BU7">
        <v>1991</v>
      </c>
      <c r="BV7">
        <v>1992</v>
      </c>
      <c r="BW7">
        <v>1993</v>
      </c>
      <c r="BX7">
        <v>1994</v>
      </c>
      <c r="BY7">
        <v>1995</v>
      </c>
      <c r="BZ7">
        <v>1996</v>
      </c>
      <c r="CA7">
        <v>1997</v>
      </c>
      <c r="CB7">
        <v>1998</v>
      </c>
      <c r="CC7">
        <v>1999</v>
      </c>
      <c r="CD7">
        <v>2000</v>
      </c>
      <c r="CE7">
        <v>2001</v>
      </c>
      <c r="CF7">
        <v>2002</v>
      </c>
      <c r="CG7">
        <v>2003</v>
      </c>
      <c r="CH7">
        <v>2004</v>
      </c>
      <c r="CI7">
        <v>2005</v>
      </c>
      <c r="CJ7">
        <v>2006</v>
      </c>
      <c r="CK7">
        <v>2007</v>
      </c>
      <c r="CL7">
        <v>2008</v>
      </c>
      <c r="CM7">
        <v>2009</v>
      </c>
      <c r="CN7">
        <v>2010</v>
      </c>
      <c r="CO7">
        <v>2011</v>
      </c>
      <c r="CP7">
        <v>2012</v>
      </c>
      <c r="CQ7">
        <v>2013</v>
      </c>
      <c r="CR7">
        <v>2014</v>
      </c>
      <c r="CS7">
        <v>2015</v>
      </c>
      <c r="CT7">
        <v>2016</v>
      </c>
      <c r="CU7">
        <v>2017</v>
      </c>
      <c r="CV7">
        <v>2018</v>
      </c>
      <c r="CW7">
        <v>2019</v>
      </c>
      <c r="CX7">
        <v>2020</v>
      </c>
      <c r="CY7">
        <v>2021</v>
      </c>
      <c r="CZ7">
        <v>2022</v>
      </c>
    </row>
    <row r="8" spans="1:104" s="3" customFormat="1" x14ac:dyDescent="0.25">
      <c r="A8" s="3" t="s">
        <v>29</v>
      </c>
      <c r="B8" s="3">
        <f>IFERROR(nlr_03_naturschutzflaechen[1920]/1,C14)</f>
        <v>0</v>
      </c>
      <c r="C8" s="3">
        <f>IFERROR(nlr_03_naturschutzflaechen[1921]/1,D14)</f>
        <v>0.01</v>
      </c>
      <c r="D8" s="3">
        <f>IFERROR(nlr_03_naturschutzflaechen[1922]/1,E14)</f>
        <v>0.15</v>
      </c>
      <c r="E8" s="3">
        <f>IFERROR(nlr_03_naturschutzflaechen[1923]/1,F14)</f>
        <v>0.15</v>
      </c>
      <c r="F8" s="3">
        <f>IFERROR(nlr_03_naturschutzflaechen[1924]/1,G14)</f>
        <v>0.15</v>
      </c>
      <c r="G8" s="3">
        <f>IFERROR(nlr_03_naturschutzflaechen[1925]/1,H14)</f>
        <v>0.15</v>
      </c>
      <c r="H8" s="3">
        <f>IFERROR(nlr_03_naturschutzflaechen[1926]/1,I14)</f>
        <v>0.15</v>
      </c>
      <c r="I8" s="3">
        <f>IFERROR(nlr_03_naturschutzflaechen[1927]/1,J14)</f>
        <v>0.15</v>
      </c>
      <c r="J8" s="3">
        <f>IFERROR(nlr_03_naturschutzflaechen[1928]/1,K14)</f>
        <v>0.15</v>
      </c>
      <c r="K8" s="3">
        <f>IFERROR(nlr_03_naturschutzflaechen[1929]/1,L14)</f>
        <v>0.15</v>
      </c>
      <c r="L8" s="3">
        <f>IFERROR(nlr_03_naturschutzflaechen[1930]/1,M14)</f>
        <v>0.23</v>
      </c>
      <c r="M8" s="3">
        <f>IFERROR(nlr_03_naturschutzflaechen[1931]/1,N14)</f>
        <v>0.23</v>
      </c>
      <c r="N8" s="3">
        <f>IFERROR(nlr_03_naturschutzflaechen[1932]/1,O14)</f>
        <v>0.24</v>
      </c>
      <c r="O8" s="3">
        <f>IFERROR(nlr_03_naturschutzflaechen[1933]/1,P14)</f>
        <v>0.24</v>
      </c>
      <c r="P8" s="3">
        <f>IFERROR(nlr_03_naturschutzflaechen[1934]/1,Q14)</f>
        <v>0.24</v>
      </c>
      <c r="Q8" s="3">
        <f>IFERROR(nlr_03_naturschutzflaechen[1935]/1,R14)</f>
        <v>0.24</v>
      </c>
      <c r="R8" s="3">
        <f>IFERROR(nlr_03_naturschutzflaechen[1936]/1,S14)</f>
        <v>0.31</v>
      </c>
      <c r="S8" s="3">
        <f>IFERROR(nlr_03_naturschutzflaechen[1937]/1,T14)</f>
        <v>0.33</v>
      </c>
      <c r="T8" s="3">
        <f>IFERROR(nlr_03_naturschutzflaechen[1938]/1,U14)</f>
        <v>0.36</v>
      </c>
      <c r="U8" s="3">
        <f>IFERROR(nlr_03_naturschutzflaechen[1939]/1,V14)</f>
        <v>0.38</v>
      </c>
      <c r="V8" s="3">
        <f>IFERROR(nlr_03_naturschutzflaechen[1940]/1,W14)</f>
        <v>0.43</v>
      </c>
      <c r="W8" s="3">
        <f>IFERROR(nlr_03_naturschutzflaechen[1941]/1,X14)</f>
        <v>0.48</v>
      </c>
      <c r="X8" s="3">
        <f>IFERROR(nlr_03_naturschutzflaechen[1942]/1,Y14)</f>
        <v>0.51</v>
      </c>
      <c r="Y8" s="3">
        <f>IFERROR(nlr_03_naturschutzflaechen[1943]/1,Z14)</f>
        <v>0.52</v>
      </c>
      <c r="Z8" s="3">
        <f>IFERROR(nlr_03_naturschutzflaechen[1944]/1,AA14)</f>
        <v>0.52</v>
      </c>
      <c r="AA8" s="3">
        <f>IFERROR(nlr_03_naturschutzflaechen[1945]/1,AB14)</f>
        <v>0.52</v>
      </c>
      <c r="AB8" s="3">
        <f>IFERROR(nlr_03_naturschutzflaechen[1946]/1,AC14)</f>
        <v>0.52</v>
      </c>
      <c r="AC8" s="3">
        <f>IFERROR(nlr_03_naturschutzflaechen[1947]/1,AD14)</f>
        <v>0.52</v>
      </c>
      <c r="AD8" s="3">
        <f>IFERROR(nlr_03_naturschutzflaechen[1948]/1,AE14)</f>
        <v>0.52</v>
      </c>
      <c r="AE8" s="3">
        <f>IFERROR(nlr_03_naturschutzflaechen[1949]/1,AF14)</f>
        <v>0.54</v>
      </c>
      <c r="AF8" s="3">
        <f>IFERROR(nlr_03_naturschutzflaechen[1950]/1,AG14)</f>
        <v>0.55000000000000004</v>
      </c>
      <c r="AG8" s="3">
        <f>IFERROR(nlr_03_naturschutzflaechen[1951]/1,AH14)</f>
        <v>0.56000000000000005</v>
      </c>
      <c r="AH8" s="3">
        <f>IFERROR(nlr_03_naturschutzflaechen[1952]/1,AI14)</f>
        <v>0.56999999999999995</v>
      </c>
      <c r="AI8" s="3">
        <f>IFERROR(nlr_03_naturschutzflaechen[1953]/1,AJ14)</f>
        <v>0.61</v>
      </c>
      <c r="AJ8" s="3">
        <f>IFERROR(nlr_03_naturschutzflaechen[1954]/1,AK14)</f>
        <v>0.62</v>
      </c>
      <c r="AK8" s="3">
        <f>IFERROR(nlr_03_naturschutzflaechen[1955]/1,AL14)</f>
        <v>0.64</v>
      </c>
      <c r="AL8" s="3">
        <f>IFERROR(nlr_03_naturschutzflaechen[1956]/1,AM14)</f>
        <v>0.67</v>
      </c>
      <c r="AM8" s="3">
        <f>IFERROR(nlr_03_naturschutzflaechen[1957]/1,AN14)</f>
        <v>0.69</v>
      </c>
      <c r="AN8" s="3">
        <f>IFERROR(nlr_03_naturschutzflaechen[1958]/1,AO14)</f>
        <v>0.69</v>
      </c>
      <c r="AO8" s="3">
        <f>IFERROR(nlr_03_naturschutzflaechen[1959]/1,AP14)</f>
        <v>0.7</v>
      </c>
      <c r="AP8" s="3">
        <f>IFERROR(nlr_03_naturschutzflaechen[1960]/1,AQ14)</f>
        <v>0.71</v>
      </c>
      <c r="AQ8" s="3">
        <f>IFERROR(nlr_03_naturschutzflaechen[1961]/1,AR14)</f>
        <v>0.73</v>
      </c>
      <c r="AR8" s="3">
        <f>IFERROR(nlr_03_naturschutzflaechen[1962]/1,AS14)</f>
        <v>0.74</v>
      </c>
      <c r="AS8" s="3">
        <f>IFERROR(nlr_03_naturschutzflaechen[1963]/1,AT14)</f>
        <v>0.75</v>
      </c>
      <c r="AT8" s="3">
        <f>IFERROR(nlr_03_naturschutzflaechen[1964]/1,AU14)</f>
        <v>0.76</v>
      </c>
      <c r="AU8" s="3">
        <f>IFERROR(nlr_03_naturschutzflaechen[1965]/1,AV14)</f>
        <v>0.77</v>
      </c>
      <c r="AV8" s="3">
        <f>IFERROR(nlr_03_naturschutzflaechen[1966]/1,AW14)</f>
        <v>0.77</v>
      </c>
      <c r="AW8" s="3">
        <f>IFERROR(nlr_03_naturschutzflaechen[1967]/1,AX14)</f>
        <v>0.78</v>
      </c>
      <c r="AX8" s="3">
        <f>IFERROR(nlr_03_naturschutzflaechen[1968]/1,AY14)</f>
        <v>0.84</v>
      </c>
      <c r="AY8" s="3">
        <f>IFERROR(nlr_03_naturschutzflaechen[1969]/1,AZ14)</f>
        <v>0.86</v>
      </c>
      <c r="AZ8" s="3">
        <f>IFERROR(nlr_03_naturschutzflaechen[1970]/1,BA14)</f>
        <v>0.89</v>
      </c>
      <c r="BA8" s="3">
        <f>IFERROR(nlr_03_naturschutzflaechen[1971]/1,BB14)</f>
        <v>0.9</v>
      </c>
      <c r="BB8" s="3">
        <f>IFERROR(nlr_03_naturschutzflaechen[1972]/1,BC14)</f>
        <v>0.9</v>
      </c>
      <c r="BC8" s="3">
        <f>IFERROR(nlr_03_naturschutzflaechen[1973]/1,BD14)</f>
        <v>0.9</v>
      </c>
      <c r="BD8" s="3">
        <f>IFERROR(nlr_03_naturschutzflaechen[1974]/1,BE14)</f>
        <v>0.92</v>
      </c>
      <c r="BE8" s="3">
        <f>IFERROR(nlr_03_naturschutzflaechen[1975]/1,BF14)</f>
        <v>0.93</v>
      </c>
      <c r="BF8" s="3">
        <f>IFERROR(nlr_03_naturschutzflaechen[1976]/1,BG14)</f>
        <v>0.94</v>
      </c>
      <c r="BG8" s="3">
        <f>IFERROR(nlr_03_naturschutzflaechen[1977]/1,BH14)</f>
        <v>0.94</v>
      </c>
      <c r="BH8" s="3">
        <f>IFERROR(nlr_03_naturschutzflaechen[1978]/1,BI14)</f>
        <v>0.96</v>
      </c>
      <c r="BI8" s="3">
        <f>IFERROR(nlr_03_naturschutzflaechen[1979]/1,BJ14)</f>
        <v>1.04</v>
      </c>
      <c r="BJ8" s="3">
        <f>IFERROR(nlr_03_naturschutzflaechen[1980]/1,BK14)</f>
        <v>1.07</v>
      </c>
      <c r="BK8" s="3">
        <f>IFERROR(nlr_03_naturschutzflaechen[1981]/1,BL14)</f>
        <v>1.41</v>
      </c>
      <c r="BL8" s="3">
        <f>IFERROR(nlr_03_naturschutzflaechen[1982]/1,BM14)</f>
        <v>1.53</v>
      </c>
      <c r="BM8" s="3">
        <f>IFERROR(nlr_03_naturschutzflaechen[1983]/1,BN14)</f>
        <v>1.69</v>
      </c>
      <c r="BN8" s="3">
        <f>IFERROR(nlr_03_naturschutzflaechen[1984]/1,BO14)</f>
        <v>1.74</v>
      </c>
      <c r="BO8" s="3">
        <f>IFERROR(nlr_03_naturschutzflaechen[1985]/1,BP14)</f>
        <v>1.86</v>
      </c>
      <c r="BP8" s="3">
        <f>IFERROR(nlr_03_naturschutzflaechen[1986]/1,BQ14)</f>
        <v>2.02</v>
      </c>
      <c r="BQ8" s="3">
        <f>IFERROR(nlr_03_naturschutzflaechen[1987]/1,BR14)</f>
        <v>2.17</v>
      </c>
      <c r="BR8" s="3">
        <f>IFERROR(nlr_03_naturschutzflaechen[1988]/1,BS14)</f>
        <v>2.4500000000000002</v>
      </c>
      <c r="BS8" s="3">
        <f>IFERROR(nlr_03_naturschutzflaechen[1989]/1,BT14)</f>
        <v>2.71</v>
      </c>
      <c r="BT8" s="3">
        <f>IFERROR(nlr_03_naturschutzflaechen[1990]/1,BU14)</f>
        <v>2.88</v>
      </c>
      <c r="BU8" s="3">
        <f>IFERROR(nlr_03_naturschutzflaechen[1991]/1,BV14)</f>
        <v>3.22</v>
      </c>
      <c r="BV8" s="3">
        <f>IFERROR(nlr_03_naturschutzflaechen[1992]/1,BW14)</f>
        <v>3.47</v>
      </c>
      <c r="BW8" s="3">
        <f>IFERROR(nlr_03_naturschutzflaechen[1993]/1,BX14)</f>
        <v>3.7</v>
      </c>
      <c r="BX8" s="3">
        <f>IFERROR(nlr_03_naturschutzflaechen[1994]/1,BY14)</f>
        <v>3.87</v>
      </c>
      <c r="BY8" s="3">
        <f>IFERROR(nlr_03_naturschutzflaechen[1995]/1,BZ14)</f>
        <v>4.03</v>
      </c>
      <c r="BZ8" s="3">
        <f>IFERROR(nlr_03_naturschutzflaechen[1996]/1,CA14)</f>
        <v>4.16</v>
      </c>
      <c r="CA8" s="3">
        <f>IFERROR(nlr_03_naturschutzflaechen[1997]/1,CB14)</f>
        <v>4.4400000000000004</v>
      </c>
      <c r="CB8" s="3">
        <f>IFERROR(nlr_03_naturschutzflaechen[1998]/1,CC14)</f>
        <v>4.5599999999999996</v>
      </c>
      <c r="CC8" s="3">
        <f>IFERROR(nlr_03_naturschutzflaechen[1999]/1,CD14)</f>
        <v>4.71</v>
      </c>
      <c r="CD8" s="3">
        <f>IFERROR(nlr_03_naturschutzflaechen[2000]/1,CE14)</f>
        <v>4.88</v>
      </c>
      <c r="CE8" s="3">
        <f>IFERROR(nlr_03_naturschutzflaechen[2001]/1,CF14)</f>
        <v>5.0999999999999996</v>
      </c>
      <c r="CF8" s="3">
        <f>IFERROR(nlr_03_naturschutzflaechen[2002]/1,CG14)</f>
        <v>5.44</v>
      </c>
      <c r="CG8" s="3">
        <f>IFERROR(nlr_03_naturschutzflaechen[2003]/1,CH14)</f>
        <v>5.7</v>
      </c>
      <c r="CH8" s="3">
        <f>IFERROR(nlr_03_naturschutzflaechen[2004]/1,CI14)</f>
        <v>6.51</v>
      </c>
      <c r="CI8" s="3">
        <f>IFERROR(nlr_03_naturschutzflaechen[2005]/1,CJ14)</f>
        <v>7.03</v>
      </c>
      <c r="CJ8" s="3">
        <f>IFERROR(nlr_03_naturschutzflaechen[2006]/1,CK14)</f>
        <v>7.34</v>
      </c>
      <c r="CK8" s="3">
        <f>IFERROR(nlr_03_naturschutzflaechen[2007]/1,CL14)</f>
        <v>7.54</v>
      </c>
      <c r="CL8" s="3">
        <f>IFERROR(nlr_03_naturschutzflaechen[2008]/1,CM14)</f>
        <v>7.56</v>
      </c>
      <c r="CM8" s="3">
        <f>IFERROR(nlr_03_naturschutzflaechen[2009]/1,CN14)</f>
        <v>7.73</v>
      </c>
      <c r="CN8" s="3">
        <f>IFERROR(nlr_03_naturschutzflaechen[2010]/1,CO14)</f>
        <v>7.85</v>
      </c>
      <c r="CO8" s="3">
        <f>IFERROR(nlr_03_naturschutzflaechen[2011]/1,CP14)</f>
        <v>7.9</v>
      </c>
      <c r="CP8" s="3">
        <f>IFERROR(nlr_03_naturschutzflaechen[2012]/1,CQ14)</f>
        <v>7.9</v>
      </c>
      <c r="CQ8" s="3">
        <f>IFERROR(nlr_03_naturschutzflaechen[2013]/1,CR14)</f>
        <v>8</v>
      </c>
      <c r="CR8" s="3">
        <f>IFERROR(nlr_03_naturschutzflaechen[2014]/1,CS14)</f>
        <v>8.0399999999999991</v>
      </c>
      <c r="CS8" s="3">
        <f>IFERROR(nlr_03_naturschutzflaechen[2015]/1,CT14)</f>
        <v>8.1</v>
      </c>
      <c r="CT8" s="3">
        <f>IFERROR(nlr_03_naturschutzflaechen[2016]/1,CU14)</f>
        <v>8.3000000000000007</v>
      </c>
      <c r="CU8" s="3">
        <f>IFERROR(nlr_03_naturschutzflaechen[2017]/1,CV14)</f>
        <v>8.4</v>
      </c>
      <c r="CV8" s="3">
        <f>IFERROR(nlr_03_naturschutzflaechen[2018]/1,CW14)</f>
        <v>8.4</v>
      </c>
      <c r="CW8" s="3">
        <f>IFERROR(nlr_03_naturschutzflaechen[2019]/1,CX14)</f>
        <v>8.4600000000000009</v>
      </c>
      <c r="CX8" s="3">
        <f>IFERROR(nlr_03_naturschutzflaechen[2020]/1,CY14)</f>
        <v>8.41</v>
      </c>
      <c r="CY8" s="3">
        <f>IFERROR(nlr_03_naturschutzflaechen[2021]/1,DA14)</f>
        <v>8.7100000000000009</v>
      </c>
      <c r="CZ8" s="3">
        <f>IFERROR(nlr_03_naturschutzflaechen[2022]/1,DB14)</f>
        <v>8.81</v>
      </c>
    </row>
    <row r="21" spans="1:104" x14ac:dyDescent="0.25">
      <c r="A21" s="25" t="s">
        <v>224</v>
      </c>
      <c r="B21" s="25" t="s">
        <v>676</v>
      </c>
      <c r="C21" s="25" t="s">
        <v>677</v>
      </c>
      <c r="D21" s="25" t="s">
        <v>678</v>
      </c>
      <c r="E21" s="25" t="s">
        <v>679</v>
      </c>
      <c r="F21" s="25" t="s">
        <v>680</v>
      </c>
      <c r="G21" s="25" t="s">
        <v>681</v>
      </c>
      <c r="H21" s="25" t="s">
        <v>682</v>
      </c>
      <c r="I21" s="25" t="s">
        <v>683</v>
      </c>
      <c r="J21" s="25" t="s">
        <v>684</v>
      </c>
      <c r="K21" s="25" t="s">
        <v>685</v>
      </c>
      <c r="L21" s="25" t="s">
        <v>686</v>
      </c>
      <c r="M21" s="25" t="s">
        <v>687</v>
      </c>
      <c r="N21" s="25" t="s">
        <v>688</v>
      </c>
      <c r="O21" s="25" t="s">
        <v>689</v>
      </c>
      <c r="P21" s="25" t="s">
        <v>690</v>
      </c>
      <c r="Q21" s="25" t="s">
        <v>691</v>
      </c>
      <c r="R21" s="25" t="s">
        <v>692</v>
      </c>
      <c r="S21" s="25" t="s">
        <v>693</v>
      </c>
      <c r="T21" s="25" t="s">
        <v>694</v>
      </c>
      <c r="U21" s="25" t="s">
        <v>695</v>
      </c>
      <c r="V21" s="25" t="s">
        <v>696</v>
      </c>
      <c r="W21" s="25" t="s">
        <v>697</v>
      </c>
      <c r="X21" s="25" t="s">
        <v>698</v>
      </c>
      <c r="Y21" s="25" t="s">
        <v>699</v>
      </c>
      <c r="Z21" s="25" t="s">
        <v>700</v>
      </c>
      <c r="AA21" s="25" t="s">
        <v>701</v>
      </c>
      <c r="AB21" s="25" t="s">
        <v>702</v>
      </c>
      <c r="AC21" s="25" t="s">
        <v>703</v>
      </c>
      <c r="AD21" s="25" t="s">
        <v>704</v>
      </c>
      <c r="AE21" s="25" t="s">
        <v>705</v>
      </c>
      <c r="AF21" s="25" t="s">
        <v>706</v>
      </c>
      <c r="AG21" s="25" t="s">
        <v>72</v>
      </c>
      <c r="AH21" s="25" t="s">
        <v>73</v>
      </c>
      <c r="AI21" s="25" t="s">
        <v>74</v>
      </c>
      <c r="AJ21" s="25" t="s">
        <v>75</v>
      </c>
      <c r="AK21" s="25" t="s">
        <v>76</v>
      </c>
      <c r="AL21" s="25" t="s">
        <v>77</v>
      </c>
      <c r="AM21" s="25" t="s">
        <v>78</v>
      </c>
      <c r="AN21" s="25" t="s">
        <v>79</v>
      </c>
      <c r="AO21" s="25" t="s">
        <v>80</v>
      </c>
      <c r="AP21" s="25" t="s">
        <v>81</v>
      </c>
      <c r="AQ21" s="25" t="s">
        <v>82</v>
      </c>
      <c r="AR21" s="25" t="s">
        <v>83</v>
      </c>
      <c r="AS21" s="25" t="s">
        <v>84</v>
      </c>
      <c r="AT21" s="25" t="s">
        <v>85</v>
      </c>
      <c r="AU21" s="25" t="s">
        <v>86</v>
      </c>
      <c r="AV21" s="25" t="s">
        <v>87</v>
      </c>
      <c r="AW21" s="25" t="s">
        <v>88</v>
      </c>
      <c r="AX21" s="25" t="s">
        <v>89</v>
      </c>
      <c r="AY21" s="25" t="s">
        <v>90</v>
      </c>
      <c r="AZ21" s="25" t="s">
        <v>91</v>
      </c>
      <c r="BA21" s="25" t="s">
        <v>92</v>
      </c>
      <c r="BB21" s="25" t="s">
        <v>93</v>
      </c>
      <c r="BC21" s="25" t="s">
        <v>94</v>
      </c>
      <c r="BD21" s="25" t="s">
        <v>95</v>
      </c>
      <c r="BE21" s="25" t="s">
        <v>96</v>
      </c>
      <c r="BF21" s="25" t="s">
        <v>97</v>
      </c>
      <c r="BG21" s="25" t="s">
        <v>98</v>
      </c>
      <c r="BH21" s="25" t="s">
        <v>99</v>
      </c>
      <c r="BI21" s="25" t="s">
        <v>100</v>
      </c>
      <c r="BJ21" s="25" t="s">
        <v>101</v>
      </c>
      <c r="BK21" s="25" t="s">
        <v>102</v>
      </c>
      <c r="BL21" s="25" t="s">
        <v>103</v>
      </c>
      <c r="BM21" s="25" t="s">
        <v>104</v>
      </c>
      <c r="BN21" s="25" t="s">
        <v>105</v>
      </c>
      <c r="BO21" s="25" t="s">
        <v>106</v>
      </c>
      <c r="BP21" s="25" t="s">
        <v>107</v>
      </c>
      <c r="BQ21" s="25" t="s">
        <v>108</v>
      </c>
      <c r="BR21" s="25" t="s">
        <v>109</v>
      </c>
      <c r="BS21" s="25" t="s">
        <v>110</v>
      </c>
      <c r="BT21" s="25" t="s">
        <v>111</v>
      </c>
      <c r="BU21" s="25" t="s">
        <v>112</v>
      </c>
      <c r="BV21" s="25" t="s">
        <v>113</v>
      </c>
      <c r="BW21" s="25" t="s">
        <v>114</v>
      </c>
      <c r="BX21" s="25" t="s">
        <v>115</v>
      </c>
      <c r="BY21" s="25" t="s">
        <v>116</v>
      </c>
      <c r="BZ21" s="25" t="s">
        <v>117</v>
      </c>
      <c r="CA21" s="25" t="s">
        <v>118</v>
      </c>
      <c r="CB21" s="25" t="s">
        <v>119</v>
      </c>
      <c r="CC21" s="25" t="s">
        <v>120</v>
      </c>
      <c r="CD21" s="25" t="s">
        <v>121</v>
      </c>
      <c r="CE21" s="25" t="s">
        <v>122</v>
      </c>
      <c r="CF21" s="25" t="s">
        <v>123</v>
      </c>
      <c r="CG21" s="25" t="s">
        <v>124</v>
      </c>
      <c r="CH21" s="25" t="s">
        <v>125</v>
      </c>
      <c r="CI21" s="25" t="s">
        <v>126</v>
      </c>
      <c r="CJ21" s="25" t="s">
        <v>127</v>
      </c>
      <c r="CK21" s="25" t="s">
        <v>128</v>
      </c>
      <c r="CL21" s="25" t="s">
        <v>129</v>
      </c>
      <c r="CM21" s="25" t="s">
        <v>130</v>
      </c>
      <c r="CN21" s="25" t="s">
        <v>131</v>
      </c>
      <c r="CO21" s="25" t="s">
        <v>132</v>
      </c>
      <c r="CP21" s="25" t="s">
        <v>133</v>
      </c>
      <c r="CQ21" s="25" t="s">
        <v>134</v>
      </c>
      <c r="CR21" s="25" t="s">
        <v>135</v>
      </c>
      <c r="CS21" s="25" t="s">
        <v>136</v>
      </c>
      <c r="CT21" s="25" t="s">
        <v>137</v>
      </c>
      <c r="CU21" s="25" t="s">
        <v>138</v>
      </c>
      <c r="CV21" s="25" t="s">
        <v>139</v>
      </c>
      <c r="CW21" s="25" t="s">
        <v>140</v>
      </c>
      <c r="CX21" s="25" t="s">
        <v>141</v>
      </c>
      <c r="CY21" s="25" t="s">
        <v>214</v>
      </c>
      <c r="CZ21" s="25" t="s">
        <v>875</v>
      </c>
    </row>
    <row r="22" spans="1:104" x14ac:dyDescent="0.25">
      <c r="A22" s="25" t="s">
        <v>29</v>
      </c>
      <c r="B22" s="25" t="s">
        <v>707</v>
      </c>
      <c r="C22" s="25" t="s">
        <v>708</v>
      </c>
      <c r="D22" s="25" t="s">
        <v>629</v>
      </c>
      <c r="E22" s="25" t="s">
        <v>629</v>
      </c>
      <c r="F22" s="25" t="s">
        <v>629</v>
      </c>
      <c r="G22" s="25" t="s">
        <v>629</v>
      </c>
      <c r="H22" s="25" t="s">
        <v>629</v>
      </c>
      <c r="I22" s="25" t="s">
        <v>629</v>
      </c>
      <c r="J22" s="25" t="s">
        <v>629</v>
      </c>
      <c r="K22" s="25" t="s">
        <v>629</v>
      </c>
      <c r="L22" s="25" t="s">
        <v>709</v>
      </c>
      <c r="M22" s="25" t="s">
        <v>709</v>
      </c>
      <c r="N22" s="25" t="s">
        <v>710</v>
      </c>
      <c r="O22" s="25" t="s">
        <v>710</v>
      </c>
      <c r="P22" s="25" t="s">
        <v>710</v>
      </c>
      <c r="Q22" s="25" t="s">
        <v>710</v>
      </c>
      <c r="R22" s="25" t="s">
        <v>711</v>
      </c>
      <c r="S22" s="25" t="s">
        <v>712</v>
      </c>
      <c r="T22" s="25" t="s">
        <v>625</v>
      </c>
      <c r="U22" s="25" t="s">
        <v>713</v>
      </c>
      <c r="V22" s="25" t="s">
        <v>618</v>
      </c>
      <c r="W22" s="25" t="s">
        <v>616</v>
      </c>
      <c r="X22" s="25" t="s">
        <v>619</v>
      </c>
      <c r="Y22" s="25" t="s">
        <v>615</v>
      </c>
      <c r="Z22" s="25" t="s">
        <v>615</v>
      </c>
      <c r="AA22" s="25" t="s">
        <v>615</v>
      </c>
      <c r="AB22" s="25" t="s">
        <v>615</v>
      </c>
      <c r="AC22" s="25" t="s">
        <v>615</v>
      </c>
      <c r="AD22" s="25" t="s">
        <v>615</v>
      </c>
      <c r="AE22" s="25" t="s">
        <v>714</v>
      </c>
      <c r="AF22" s="25" t="s">
        <v>715</v>
      </c>
      <c r="AG22" s="25" t="s">
        <v>716</v>
      </c>
      <c r="AH22" s="25" t="s">
        <v>717</v>
      </c>
      <c r="AI22" s="25" t="s">
        <v>718</v>
      </c>
      <c r="AJ22" s="25" t="s">
        <v>719</v>
      </c>
      <c r="AK22" s="25" t="s">
        <v>720</v>
      </c>
      <c r="AL22" s="25" t="s">
        <v>612</v>
      </c>
      <c r="AM22" s="25" t="s">
        <v>721</v>
      </c>
      <c r="AN22" s="25" t="s">
        <v>721</v>
      </c>
      <c r="AO22" s="25" t="s">
        <v>722</v>
      </c>
      <c r="AP22" s="25" t="s">
        <v>723</v>
      </c>
      <c r="AQ22" s="25" t="s">
        <v>724</v>
      </c>
      <c r="AR22" s="25" t="s">
        <v>725</v>
      </c>
      <c r="AS22" s="25" t="s">
        <v>726</v>
      </c>
      <c r="AT22" s="25" t="s">
        <v>727</v>
      </c>
      <c r="AU22" s="25" t="s">
        <v>728</v>
      </c>
      <c r="AV22" s="25" t="s">
        <v>728</v>
      </c>
      <c r="AW22" s="25" t="s">
        <v>610</v>
      </c>
      <c r="AX22" s="25" t="s">
        <v>729</v>
      </c>
      <c r="AY22" s="25" t="s">
        <v>730</v>
      </c>
      <c r="AZ22" s="25" t="s">
        <v>731</v>
      </c>
      <c r="BA22" s="25" t="s">
        <v>732</v>
      </c>
      <c r="BB22" s="25" t="s">
        <v>732</v>
      </c>
      <c r="BC22" s="25" t="s">
        <v>732</v>
      </c>
      <c r="BD22" s="25" t="s">
        <v>733</v>
      </c>
      <c r="BE22" s="25" t="s">
        <v>734</v>
      </c>
      <c r="BF22" s="25" t="s">
        <v>735</v>
      </c>
      <c r="BG22" s="25" t="s">
        <v>735</v>
      </c>
      <c r="BH22" s="25" t="s">
        <v>736</v>
      </c>
      <c r="BI22" s="25" t="s">
        <v>737</v>
      </c>
      <c r="BJ22" s="25" t="s">
        <v>609</v>
      </c>
      <c r="BK22" s="25" t="s">
        <v>738</v>
      </c>
      <c r="BL22" s="25" t="s">
        <v>739</v>
      </c>
      <c r="BM22" s="25" t="s">
        <v>740</v>
      </c>
      <c r="BN22" s="25" t="s">
        <v>741</v>
      </c>
      <c r="BO22" s="25" t="s">
        <v>742</v>
      </c>
      <c r="BP22" s="25" t="s">
        <v>743</v>
      </c>
      <c r="BQ22" s="25" t="s">
        <v>744</v>
      </c>
      <c r="BR22" s="25" t="s">
        <v>745</v>
      </c>
      <c r="BS22" s="25" t="s">
        <v>746</v>
      </c>
      <c r="BT22" s="25" t="s">
        <v>747</v>
      </c>
      <c r="BU22" s="25" t="s">
        <v>748</v>
      </c>
      <c r="BV22" s="25" t="s">
        <v>749</v>
      </c>
      <c r="BW22" s="25" t="s">
        <v>750</v>
      </c>
      <c r="BX22" s="25" t="s">
        <v>751</v>
      </c>
      <c r="BY22" s="25" t="s">
        <v>752</v>
      </c>
      <c r="BZ22" s="25" t="s">
        <v>753</v>
      </c>
      <c r="CA22" s="25" t="s">
        <v>754</v>
      </c>
      <c r="CB22" s="25" t="s">
        <v>755</v>
      </c>
      <c r="CC22" s="25" t="s">
        <v>756</v>
      </c>
      <c r="CD22" s="25" t="s">
        <v>757</v>
      </c>
      <c r="CE22" s="25" t="s">
        <v>758</v>
      </c>
      <c r="CF22" s="25" t="s">
        <v>759</v>
      </c>
      <c r="CG22" s="25" t="s">
        <v>760</v>
      </c>
      <c r="CH22" s="25" t="s">
        <v>761</v>
      </c>
      <c r="CI22" s="25" t="s">
        <v>762</v>
      </c>
      <c r="CJ22" s="25" t="s">
        <v>763</v>
      </c>
      <c r="CK22" s="25" t="s">
        <v>764</v>
      </c>
      <c r="CL22" s="25" t="s">
        <v>765</v>
      </c>
      <c r="CM22" s="25" t="s">
        <v>766</v>
      </c>
      <c r="CN22" s="25" t="s">
        <v>767</v>
      </c>
      <c r="CO22" s="25" t="s">
        <v>768</v>
      </c>
      <c r="CP22" s="25" t="s">
        <v>768</v>
      </c>
      <c r="CQ22" s="25" t="s">
        <v>769</v>
      </c>
      <c r="CR22" s="25" t="s">
        <v>770</v>
      </c>
      <c r="CS22" s="25" t="s">
        <v>771</v>
      </c>
      <c r="CT22" s="25" t="s">
        <v>772</v>
      </c>
      <c r="CU22" s="25" t="s">
        <v>773</v>
      </c>
      <c r="CV22" s="25" t="s">
        <v>773</v>
      </c>
      <c r="CW22" s="25" t="s">
        <v>774</v>
      </c>
      <c r="CX22" s="25" t="s">
        <v>775</v>
      </c>
      <c r="CY22" s="25" t="s">
        <v>776</v>
      </c>
      <c r="CZ22" s="25" t="s">
        <v>876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1"/>
  <sheetViews>
    <sheetView workbookViewId="0"/>
  </sheetViews>
  <sheetFormatPr baseColWidth="10" defaultRowHeight="15" x14ac:dyDescent="0.25"/>
  <sheetData>
    <row r="3" spans="2:2" x14ac:dyDescent="0.25">
      <c r="B3" t="s">
        <v>869</v>
      </c>
    </row>
    <row r="5" spans="2:2" x14ac:dyDescent="0.25">
      <c r="B5" t="s">
        <v>870</v>
      </c>
    </row>
    <row r="6" spans="2:2" x14ac:dyDescent="0.25">
      <c r="B6" t="s">
        <v>874</v>
      </c>
    </row>
    <row r="8" spans="2:2" x14ac:dyDescent="0.25">
      <c r="B8" t="s">
        <v>871</v>
      </c>
    </row>
    <row r="9" spans="2:2" x14ac:dyDescent="0.25">
      <c r="B9" t="s">
        <v>872</v>
      </c>
    </row>
    <row r="11" spans="2:2" x14ac:dyDescent="0.25">
      <c r="B11" t="s">
        <v>873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M22"/>
  <sheetViews>
    <sheetView topLeftCell="K1" workbookViewId="0">
      <selection activeCell="A21" sqref="A21:AM22"/>
    </sheetView>
  </sheetViews>
  <sheetFormatPr baseColWidth="10" defaultRowHeight="15" x14ac:dyDescent="0.25"/>
  <cols>
    <col min="1" max="1" width="15.5703125" customWidth="1"/>
    <col min="2" max="2" width="7.28515625" customWidth="1"/>
    <col min="3" max="37" width="7.28515625" bestFit="1" customWidth="1"/>
    <col min="38" max="39" width="7.28515625" customWidth="1"/>
    <col min="40" max="40" width="6.5703125" customWidth="1"/>
  </cols>
  <sheetData>
    <row r="1" spans="1:39" ht="21" x14ac:dyDescent="0.35">
      <c r="A1" s="10" t="s">
        <v>212</v>
      </c>
      <c r="B1" s="11" t="s">
        <v>30</v>
      </c>
    </row>
    <row r="2" spans="1:39" x14ac:dyDescent="0.25">
      <c r="A2" t="s">
        <v>172</v>
      </c>
      <c r="B2" t="s">
        <v>31</v>
      </c>
    </row>
    <row r="3" spans="1:39" x14ac:dyDescent="0.25">
      <c r="A3" t="s">
        <v>173</v>
      </c>
      <c r="B3">
        <v>1</v>
      </c>
    </row>
    <row r="4" spans="1:39" x14ac:dyDescent="0.25">
      <c r="A4" t="s">
        <v>41</v>
      </c>
    </row>
    <row r="5" spans="1:39" ht="15.75" x14ac:dyDescent="0.25">
      <c r="A5" s="26">
        <v>44656</v>
      </c>
    </row>
    <row r="7" spans="1:39" x14ac:dyDescent="0.25">
      <c r="B7">
        <v>1983</v>
      </c>
      <c r="C7">
        <v>1984</v>
      </c>
      <c r="D7">
        <v>1985</v>
      </c>
      <c r="E7">
        <v>1986</v>
      </c>
      <c r="F7">
        <v>1987</v>
      </c>
      <c r="G7">
        <v>1988</v>
      </c>
      <c r="H7">
        <v>1989</v>
      </c>
      <c r="I7">
        <v>1990</v>
      </c>
      <c r="J7">
        <v>1991</v>
      </c>
      <c r="K7">
        <v>1992</v>
      </c>
      <c r="L7">
        <v>1993</v>
      </c>
      <c r="M7">
        <v>1994</v>
      </c>
      <c r="N7">
        <v>1995</v>
      </c>
      <c r="O7">
        <v>1996</v>
      </c>
      <c r="P7">
        <v>1997</v>
      </c>
      <c r="Q7">
        <v>1998</v>
      </c>
      <c r="R7">
        <v>1999</v>
      </c>
      <c r="S7">
        <v>2000</v>
      </c>
      <c r="T7">
        <v>2001</v>
      </c>
      <c r="U7">
        <v>2002</v>
      </c>
      <c r="V7">
        <v>2003</v>
      </c>
      <c r="W7">
        <v>2004</v>
      </c>
      <c r="X7">
        <v>2005</v>
      </c>
      <c r="Y7">
        <v>2006</v>
      </c>
      <c r="Z7">
        <v>2007</v>
      </c>
      <c r="AA7">
        <v>2008</v>
      </c>
      <c r="AB7">
        <v>2009</v>
      </c>
      <c r="AC7">
        <v>2010</v>
      </c>
      <c r="AD7">
        <v>2011</v>
      </c>
      <c r="AE7">
        <v>2012</v>
      </c>
      <c r="AF7">
        <v>2013</v>
      </c>
      <c r="AG7">
        <v>2014</v>
      </c>
      <c r="AH7">
        <v>2015</v>
      </c>
      <c r="AI7">
        <v>2016</v>
      </c>
      <c r="AJ7">
        <v>2017</v>
      </c>
      <c r="AK7">
        <v>2018</v>
      </c>
      <c r="AL7">
        <v>2019</v>
      </c>
      <c r="AM7">
        <v>2020</v>
      </c>
    </row>
    <row r="8" spans="1:39" s="2" customFormat="1" x14ac:dyDescent="0.25">
      <c r="A8" s="2" t="s">
        <v>30</v>
      </c>
      <c r="B8" s="2">
        <f>IFERROR(nlr_04_stickstoffeintrag[1983]/1,"")</f>
        <v>26</v>
      </c>
      <c r="C8" s="2">
        <f>IFERROR(nlr_04_stickstoffeintrag[1984]/1,"")</f>
        <v>27.7</v>
      </c>
      <c r="D8" s="2">
        <f>IFERROR(nlr_04_stickstoffeintrag[1985]/1,"")</f>
        <v>26.5</v>
      </c>
      <c r="E8" s="2">
        <f>IFERROR(nlr_04_stickstoffeintrag[1986]/1,"")</f>
        <v>33.4</v>
      </c>
      <c r="F8" s="2">
        <f>IFERROR(nlr_04_stickstoffeintrag[1987]/1,"")</f>
        <v>32.700000000000003</v>
      </c>
      <c r="G8" s="2">
        <f>IFERROR(nlr_04_stickstoffeintrag[1988]/1,"")</f>
        <v>30.4</v>
      </c>
      <c r="H8" s="2">
        <f>IFERROR(nlr_04_stickstoffeintrag[1989]/1,"")</f>
        <v>36.1</v>
      </c>
      <c r="I8" s="2">
        <f>IFERROR(nlr_04_stickstoffeintrag[1990]/1,"")</f>
        <v>28</v>
      </c>
      <c r="J8" s="2">
        <f>IFERROR(nlr_04_stickstoffeintrag[1991]/1,"")</f>
        <v>26.9</v>
      </c>
      <c r="K8" s="2">
        <f>IFERROR(nlr_04_stickstoffeintrag[1992]/1,"")</f>
        <v>29.6</v>
      </c>
      <c r="L8" s="2">
        <f>IFERROR(nlr_04_stickstoffeintrag[1993]/1,"")</f>
        <v>28.8</v>
      </c>
      <c r="M8" s="2">
        <f>IFERROR(nlr_04_stickstoffeintrag[1994]/1,"")</f>
        <v>28.2</v>
      </c>
      <c r="N8" s="2">
        <f>IFERROR(nlr_04_stickstoffeintrag[1995]/1,"")</f>
        <v>31.8</v>
      </c>
      <c r="O8" s="2">
        <f>IFERROR(nlr_04_stickstoffeintrag[1996]/1,"")</f>
        <v>27.5</v>
      </c>
      <c r="P8" s="2">
        <f>IFERROR(nlr_04_stickstoffeintrag[1997]/1,"")</f>
        <v>27.8</v>
      </c>
      <c r="Q8" s="2">
        <f>IFERROR(nlr_04_stickstoffeintrag[1998]/1,"")</f>
        <v>28.1</v>
      </c>
      <c r="R8" s="2">
        <f>IFERROR(nlr_04_stickstoffeintrag[1999]/1,"")</f>
        <v>26.7</v>
      </c>
      <c r="S8" s="2">
        <f>IFERROR(nlr_04_stickstoffeintrag[2000]/1,"")</f>
        <v>26.7</v>
      </c>
      <c r="T8" s="2">
        <f>IFERROR(nlr_04_stickstoffeintrag[2001]/1,"")</f>
        <v>24.4</v>
      </c>
      <c r="U8" s="2">
        <f>IFERROR(nlr_04_stickstoffeintrag[2002]/1,"")</f>
        <v>23.7</v>
      </c>
      <c r="V8" s="2">
        <f>IFERROR(nlr_04_stickstoffeintrag[2003]/1,"")</f>
        <v>21.5</v>
      </c>
      <c r="W8" s="2">
        <f>IFERROR(nlr_04_stickstoffeintrag[2004]/1,"")</f>
        <v>20.7</v>
      </c>
      <c r="X8" s="2">
        <f>IFERROR(nlr_04_stickstoffeintrag[2005]/1,"")</f>
        <v>22.6</v>
      </c>
      <c r="Y8" s="2">
        <f>IFERROR(nlr_04_stickstoffeintrag[2006]/1,"")</f>
        <v>21.2</v>
      </c>
      <c r="Z8" s="2">
        <f>IFERROR(nlr_04_stickstoffeintrag[2007]/1,"")</f>
        <v>22</v>
      </c>
      <c r="AA8" s="2">
        <f>IFERROR(nlr_04_stickstoffeintrag[2008]/1,"")</f>
        <v>18.600000000000001</v>
      </c>
      <c r="AB8" s="2">
        <f>IFERROR(nlr_04_stickstoffeintrag[2009]/1,"")</f>
        <v>20.9</v>
      </c>
      <c r="AC8" s="2">
        <f>IFERROR(nlr_04_stickstoffeintrag[2010]/1,"")</f>
        <v>22.1</v>
      </c>
      <c r="AD8" s="2">
        <f>IFERROR(nlr_04_stickstoffeintrag[2011]/1,"")</f>
        <v>21.3</v>
      </c>
      <c r="AE8" s="2">
        <f>IFERROR(nlr_04_stickstoffeintrag[2012]/1,"")</f>
        <v>20.399999999999999</v>
      </c>
      <c r="AF8" s="2">
        <f>IFERROR(nlr_04_stickstoffeintrag[2013]/1,"")</f>
        <v>18.100000000000001</v>
      </c>
      <c r="AG8" s="2">
        <f>IFERROR(nlr_04_stickstoffeintrag[2014]/1,"")</f>
        <v>18.5</v>
      </c>
      <c r="AH8" s="2">
        <f>IFERROR(nlr_04_stickstoffeintrag[2015]/1,"")</f>
        <v>19.5</v>
      </c>
      <c r="AI8" s="2">
        <f>IFERROR(nlr_04_stickstoffeintrag[2016]/1,"")</f>
        <v>21</v>
      </c>
      <c r="AJ8" s="2">
        <f>IFERROR(nlr_04_stickstoffeintrag[2017]/1,"")</f>
        <v>20.6</v>
      </c>
      <c r="AK8" s="2">
        <f>IFERROR(nlr_04_stickstoffeintrag[2018]/1,"")</f>
        <v>20.5</v>
      </c>
      <c r="AL8" s="2">
        <f>IFERROR(nlr_04_stickstoffeintrag[2019]/1,"")</f>
        <v>16.7</v>
      </c>
      <c r="AM8" s="2">
        <f>IFERROR(nlr_04_stickstoffeintrag[2020]/1,"")</f>
        <v>14.8</v>
      </c>
    </row>
    <row r="21" spans="1:39" x14ac:dyDescent="0.25">
      <c r="A21" s="25" t="s">
        <v>224</v>
      </c>
      <c r="B21" s="25" t="s">
        <v>104</v>
      </c>
      <c r="C21" s="25" t="s">
        <v>105</v>
      </c>
      <c r="D21" s="25" t="s">
        <v>106</v>
      </c>
      <c r="E21" s="25" t="s">
        <v>107</v>
      </c>
      <c r="F21" s="25" t="s">
        <v>108</v>
      </c>
      <c r="G21" s="25" t="s">
        <v>109</v>
      </c>
      <c r="H21" s="25" t="s">
        <v>110</v>
      </c>
      <c r="I21" s="25" t="s">
        <v>111</v>
      </c>
      <c r="J21" s="25" t="s">
        <v>112</v>
      </c>
      <c r="K21" s="25" t="s">
        <v>113</v>
      </c>
      <c r="L21" s="25" t="s">
        <v>114</v>
      </c>
      <c r="M21" s="25" t="s">
        <v>115</v>
      </c>
      <c r="N21" s="25" t="s">
        <v>116</v>
      </c>
      <c r="O21" s="25" t="s">
        <v>117</v>
      </c>
      <c r="P21" s="25" t="s">
        <v>118</v>
      </c>
      <c r="Q21" s="25" t="s">
        <v>119</v>
      </c>
      <c r="R21" s="25" t="s">
        <v>120</v>
      </c>
      <c r="S21" s="25" t="s">
        <v>121</v>
      </c>
      <c r="T21" s="25" t="s">
        <v>122</v>
      </c>
      <c r="U21" s="25" t="s">
        <v>123</v>
      </c>
      <c r="V21" s="25" t="s">
        <v>124</v>
      </c>
      <c r="W21" s="25" t="s">
        <v>125</v>
      </c>
      <c r="X21" s="25" t="s">
        <v>126</v>
      </c>
      <c r="Y21" s="25" t="s">
        <v>127</v>
      </c>
      <c r="Z21" s="25" t="s">
        <v>128</v>
      </c>
      <c r="AA21" s="25" t="s">
        <v>129</v>
      </c>
      <c r="AB21" s="25" t="s">
        <v>130</v>
      </c>
      <c r="AC21" s="25" t="s">
        <v>131</v>
      </c>
      <c r="AD21" s="25" t="s">
        <v>132</v>
      </c>
      <c r="AE21" s="25" t="s">
        <v>133</v>
      </c>
      <c r="AF21" s="25" t="s">
        <v>134</v>
      </c>
      <c r="AG21" s="25" t="s">
        <v>135</v>
      </c>
      <c r="AH21" s="25" t="s">
        <v>136</v>
      </c>
      <c r="AI21" s="25" t="s">
        <v>137</v>
      </c>
      <c r="AJ21" s="25" t="s">
        <v>138</v>
      </c>
      <c r="AK21" s="25" t="s">
        <v>139</v>
      </c>
      <c r="AL21" s="25" t="s">
        <v>140</v>
      </c>
      <c r="AM21" s="25" t="s">
        <v>141</v>
      </c>
    </row>
    <row r="22" spans="1:39" x14ac:dyDescent="0.25">
      <c r="A22" s="25" t="s">
        <v>30</v>
      </c>
      <c r="B22" s="25" t="s">
        <v>777</v>
      </c>
      <c r="C22" s="25" t="s">
        <v>778</v>
      </c>
      <c r="D22" s="25" t="s">
        <v>779</v>
      </c>
      <c r="E22" s="25" t="s">
        <v>280</v>
      </c>
      <c r="F22" s="25" t="s">
        <v>282</v>
      </c>
      <c r="G22" s="25" t="s">
        <v>780</v>
      </c>
      <c r="H22" s="25" t="s">
        <v>270</v>
      </c>
      <c r="I22" s="25" t="s">
        <v>781</v>
      </c>
      <c r="J22" s="25" t="s">
        <v>782</v>
      </c>
      <c r="K22" s="25" t="s">
        <v>783</v>
      </c>
      <c r="L22" s="25" t="s">
        <v>784</v>
      </c>
      <c r="M22" s="25" t="s">
        <v>785</v>
      </c>
      <c r="N22" s="25" t="s">
        <v>786</v>
      </c>
      <c r="O22" s="25" t="s">
        <v>787</v>
      </c>
      <c r="P22" s="25" t="s">
        <v>788</v>
      </c>
      <c r="Q22" s="25" t="s">
        <v>789</v>
      </c>
      <c r="R22" s="25" t="s">
        <v>790</v>
      </c>
      <c r="S22" s="25" t="s">
        <v>790</v>
      </c>
      <c r="T22" s="25" t="s">
        <v>791</v>
      </c>
      <c r="U22" s="25" t="s">
        <v>792</v>
      </c>
      <c r="V22" s="25" t="s">
        <v>793</v>
      </c>
      <c r="W22" s="25" t="s">
        <v>794</v>
      </c>
      <c r="X22" s="25" t="s">
        <v>795</v>
      </c>
      <c r="Y22" s="25" t="s">
        <v>796</v>
      </c>
      <c r="Z22" s="25" t="s">
        <v>797</v>
      </c>
      <c r="AA22" s="25" t="s">
        <v>365</v>
      </c>
      <c r="AB22" s="25" t="s">
        <v>798</v>
      </c>
      <c r="AC22" s="25" t="s">
        <v>799</v>
      </c>
      <c r="AD22" s="25" t="s">
        <v>800</v>
      </c>
      <c r="AE22" s="25" t="s">
        <v>801</v>
      </c>
      <c r="AF22" s="25" t="s">
        <v>802</v>
      </c>
      <c r="AG22" s="25" t="s">
        <v>803</v>
      </c>
      <c r="AH22" s="25" t="s">
        <v>804</v>
      </c>
      <c r="AI22" s="25" t="s">
        <v>805</v>
      </c>
      <c r="AJ22" s="25" t="s">
        <v>806</v>
      </c>
      <c r="AK22" s="25" t="s">
        <v>807</v>
      </c>
      <c r="AL22" s="25" t="s">
        <v>350</v>
      </c>
      <c r="AM22" s="25" t="s">
        <v>808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M22"/>
  <sheetViews>
    <sheetView topLeftCell="K1" workbookViewId="0">
      <selection activeCell="A21" sqref="A21:AM22"/>
    </sheetView>
  </sheetViews>
  <sheetFormatPr baseColWidth="10" defaultRowHeight="15" x14ac:dyDescent="0.25"/>
  <cols>
    <col min="1" max="1" width="12.28515625" customWidth="1"/>
    <col min="2" max="39" width="7.28515625" customWidth="1"/>
    <col min="40" max="133" width="5.140625" customWidth="1"/>
  </cols>
  <sheetData>
    <row r="1" spans="1:39" ht="21" x14ac:dyDescent="0.35">
      <c r="A1" s="10" t="s">
        <v>212</v>
      </c>
      <c r="B1" s="11" t="s">
        <v>33</v>
      </c>
    </row>
    <row r="2" spans="1:39" x14ac:dyDescent="0.25">
      <c r="A2" t="s">
        <v>172</v>
      </c>
      <c r="B2" t="s">
        <v>32</v>
      </c>
    </row>
    <row r="3" spans="1:39" x14ac:dyDescent="0.25">
      <c r="A3" t="s">
        <v>173</v>
      </c>
      <c r="B3">
        <v>2</v>
      </c>
    </row>
    <row r="4" spans="1:39" x14ac:dyDescent="0.25">
      <c r="A4" t="s">
        <v>41</v>
      </c>
    </row>
    <row r="5" spans="1:39" ht="15.75" x14ac:dyDescent="0.25">
      <c r="A5" s="26">
        <v>44656</v>
      </c>
    </row>
    <row r="7" spans="1:39" x14ac:dyDescent="0.25">
      <c r="B7">
        <v>1983</v>
      </c>
      <c r="C7">
        <v>1984</v>
      </c>
      <c r="D7">
        <v>1985</v>
      </c>
      <c r="E7">
        <v>1986</v>
      </c>
      <c r="F7">
        <v>1987</v>
      </c>
      <c r="G7">
        <v>1988</v>
      </c>
      <c r="H7">
        <v>1989</v>
      </c>
      <c r="I7">
        <v>1990</v>
      </c>
      <c r="J7">
        <v>1991</v>
      </c>
      <c r="K7">
        <v>1992</v>
      </c>
      <c r="L7">
        <v>1993</v>
      </c>
      <c r="M7">
        <v>1994</v>
      </c>
      <c r="N7">
        <v>1995</v>
      </c>
      <c r="O7">
        <v>1996</v>
      </c>
      <c r="P7">
        <v>1997</v>
      </c>
      <c r="Q7">
        <v>1998</v>
      </c>
      <c r="R7">
        <v>1999</v>
      </c>
      <c r="S7">
        <v>2000</v>
      </c>
      <c r="T7">
        <v>2001</v>
      </c>
      <c r="U7">
        <v>2002</v>
      </c>
      <c r="V7">
        <v>2003</v>
      </c>
      <c r="W7">
        <v>2004</v>
      </c>
      <c r="X7">
        <v>2005</v>
      </c>
      <c r="Y7">
        <v>2006</v>
      </c>
      <c r="Z7">
        <v>2007</v>
      </c>
      <c r="AA7">
        <v>2008</v>
      </c>
      <c r="AB7">
        <v>2009</v>
      </c>
      <c r="AC7">
        <v>2010</v>
      </c>
      <c r="AD7">
        <v>2011</v>
      </c>
      <c r="AE7">
        <v>2012</v>
      </c>
      <c r="AF7">
        <v>2013</v>
      </c>
      <c r="AG7">
        <v>2014</v>
      </c>
      <c r="AH7">
        <v>2015</v>
      </c>
      <c r="AI7">
        <v>2016</v>
      </c>
      <c r="AJ7">
        <v>2017</v>
      </c>
      <c r="AK7">
        <v>2018</v>
      </c>
      <c r="AL7">
        <v>2019</v>
      </c>
      <c r="AM7">
        <v>2020</v>
      </c>
    </row>
    <row r="8" spans="1:39" s="3" customFormat="1" x14ac:dyDescent="0.25">
      <c r="A8" s="3" t="s">
        <v>33</v>
      </c>
      <c r="B8" s="3">
        <f>IFERROR(nlr_05_saeureeintreg[1983]/1,"")</f>
        <v>3.73</v>
      </c>
      <c r="C8" s="3">
        <f>IFERROR(nlr_05_saeureeintreg[1984]/1,"")</f>
        <v>3.97</v>
      </c>
      <c r="D8" s="3">
        <f>IFERROR(nlr_05_saeureeintreg[1985]/1,"")</f>
        <v>3.61</v>
      </c>
      <c r="E8" s="3">
        <f>IFERROR(nlr_05_saeureeintreg[1986]/1,"")</f>
        <v>3.9</v>
      </c>
      <c r="F8" s="3">
        <f>IFERROR(nlr_05_saeureeintreg[1987]/1,"")</f>
        <v>4.2</v>
      </c>
      <c r="G8" s="3">
        <f>IFERROR(nlr_05_saeureeintreg[1988]/1,"")</f>
        <v>3.83</v>
      </c>
      <c r="H8" s="3">
        <f>IFERROR(nlr_05_saeureeintreg[1989]/1,"")</f>
        <v>3.57</v>
      </c>
      <c r="I8" s="3">
        <f>IFERROR(nlr_05_saeureeintreg[1990]/1,"")</f>
        <v>2.5499999999999998</v>
      </c>
      <c r="J8" s="3">
        <f>IFERROR(nlr_05_saeureeintreg[1991]/1,"")</f>
        <v>2.61</v>
      </c>
      <c r="K8" s="3">
        <f>IFERROR(nlr_05_saeureeintreg[1992]/1,"")</f>
        <v>3.01</v>
      </c>
      <c r="L8" s="3">
        <f>IFERROR(nlr_05_saeureeintreg[1993]/1,"")</f>
        <v>2.67</v>
      </c>
      <c r="M8" s="3">
        <f>IFERROR(nlr_05_saeureeintreg[1994]/1,"")</f>
        <v>2.42</v>
      </c>
      <c r="N8" s="3">
        <f>IFERROR(nlr_05_saeureeintreg[1995]/1,"")</f>
        <v>2.81</v>
      </c>
      <c r="O8" s="3">
        <f>IFERROR(nlr_05_saeureeintreg[1996]/1,"")</f>
        <v>2.46</v>
      </c>
      <c r="P8" s="3">
        <f>IFERROR(nlr_05_saeureeintreg[1997]/1,"")</f>
        <v>2.54</v>
      </c>
      <c r="Q8" s="3">
        <f>IFERROR(nlr_05_saeureeintreg[1998]/1,"")</f>
        <v>2.66</v>
      </c>
      <c r="R8" s="3">
        <f>IFERROR(nlr_05_saeureeintreg[1999]/1,"")</f>
        <v>2.29</v>
      </c>
      <c r="S8" s="3">
        <f>IFERROR(nlr_05_saeureeintreg[2000]/1,"")</f>
        <v>2.4300000000000002</v>
      </c>
      <c r="T8" s="3">
        <f>IFERROR(nlr_05_saeureeintreg[2001]/1,"")</f>
        <v>2.2200000000000002</v>
      </c>
      <c r="U8" s="3">
        <f>IFERROR(nlr_05_saeureeintreg[2002]/1,"")</f>
        <v>2.2599999999999998</v>
      </c>
      <c r="V8" s="3">
        <f>IFERROR(nlr_05_saeureeintreg[2003]/1,"")</f>
        <v>1.89</v>
      </c>
      <c r="W8" s="3">
        <f>IFERROR(nlr_05_saeureeintreg[2004]/1,"")</f>
        <v>1.89</v>
      </c>
      <c r="X8" s="3">
        <f>IFERROR(nlr_05_saeureeintreg[2005]/1,"")</f>
        <v>1.92</v>
      </c>
      <c r="Y8" s="3">
        <f>IFERROR(nlr_05_saeureeintreg[2006]/1,"")</f>
        <v>1.78</v>
      </c>
      <c r="Z8" s="3">
        <f>IFERROR(nlr_05_saeureeintreg[2007]/1,"")</f>
        <v>1.79</v>
      </c>
      <c r="AA8" s="3">
        <f>IFERROR(nlr_05_saeureeintreg[2008]/1,"")</f>
        <v>1.46</v>
      </c>
      <c r="AB8" s="3">
        <f>IFERROR(nlr_05_saeureeintreg[2009]/1,"")</f>
        <v>1.69</v>
      </c>
      <c r="AC8" s="3">
        <f>IFERROR(nlr_05_saeureeintreg[2010]/1,"")</f>
        <v>1.7</v>
      </c>
      <c r="AD8" s="3">
        <f>IFERROR(nlr_05_saeureeintreg[2011]/1,"")</f>
        <v>1.76</v>
      </c>
      <c r="AE8" s="3">
        <f>IFERROR(nlr_05_saeureeintreg[2012]/1,"")</f>
        <v>1.64</v>
      </c>
      <c r="AF8" s="3">
        <f>IFERROR(nlr_05_saeureeintreg[2013]/1,"")</f>
        <v>1.4</v>
      </c>
      <c r="AG8" s="3">
        <f>IFERROR(nlr_05_saeureeintreg[2014]/1,"")</f>
        <v>1.47</v>
      </c>
      <c r="AH8" s="3">
        <f>IFERROR(nlr_05_saeureeintreg[2015]/1,"")</f>
        <v>1.53</v>
      </c>
      <c r="AI8" s="3">
        <f>IFERROR(nlr_05_saeureeintreg[2016]/1,"")</f>
        <v>1.44</v>
      </c>
      <c r="AJ8" s="3">
        <f>IFERROR(nlr_05_saeureeintreg[2017]/1,"")</f>
        <v>1.49</v>
      </c>
      <c r="AK8" s="3">
        <f>IFERROR(nlr_05_saeureeintreg[2018]/1,"")</f>
        <v>1.19</v>
      </c>
      <c r="AL8" s="3">
        <f>IFERROR(nlr_05_saeureeintreg[2019]/1,"")</f>
        <v>1.1200000000000001</v>
      </c>
      <c r="AM8" s="3">
        <f>IFERROR(nlr_05_saeureeintreg[2020]/1,"")</f>
        <v>0.79</v>
      </c>
    </row>
    <row r="21" spans="1:39" x14ac:dyDescent="0.25">
      <c r="A21" s="25" t="s">
        <v>224</v>
      </c>
      <c r="B21" s="25" t="s">
        <v>104</v>
      </c>
      <c r="C21" s="25" t="s">
        <v>105</v>
      </c>
      <c r="D21" s="25" t="s">
        <v>106</v>
      </c>
      <c r="E21" s="25" t="s">
        <v>107</v>
      </c>
      <c r="F21" s="25" t="s">
        <v>108</v>
      </c>
      <c r="G21" s="25" t="s">
        <v>109</v>
      </c>
      <c r="H21" s="25" t="s">
        <v>110</v>
      </c>
      <c r="I21" s="25" t="s">
        <v>111</v>
      </c>
      <c r="J21" s="25" t="s">
        <v>112</v>
      </c>
      <c r="K21" s="25" t="s">
        <v>113</v>
      </c>
      <c r="L21" s="25" t="s">
        <v>114</v>
      </c>
      <c r="M21" s="25" t="s">
        <v>115</v>
      </c>
      <c r="N21" s="25" t="s">
        <v>116</v>
      </c>
      <c r="O21" s="25" t="s">
        <v>117</v>
      </c>
      <c r="P21" s="25" t="s">
        <v>118</v>
      </c>
      <c r="Q21" s="25" t="s">
        <v>119</v>
      </c>
      <c r="R21" s="25" t="s">
        <v>120</v>
      </c>
      <c r="S21" s="25" t="s">
        <v>121</v>
      </c>
      <c r="T21" s="25" t="s">
        <v>122</v>
      </c>
      <c r="U21" s="25" t="s">
        <v>123</v>
      </c>
      <c r="V21" s="25" t="s">
        <v>124</v>
      </c>
      <c r="W21" s="25" t="s">
        <v>125</v>
      </c>
      <c r="X21" s="25" t="s">
        <v>126</v>
      </c>
      <c r="Y21" s="25" t="s">
        <v>127</v>
      </c>
      <c r="Z21" s="25" t="s">
        <v>128</v>
      </c>
      <c r="AA21" s="25" t="s">
        <v>129</v>
      </c>
      <c r="AB21" s="25" t="s">
        <v>130</v>
      </c>
      <c r="AC21" s="25" t="s">
        <v>131</v>
      </c>
      <c r="AD21" s="25" t="s">
        <v>132</v>
      </c>
      <c r="AE21" s="25" t="s">
        <v>133</v>
      </c>
      <c r="AF21" s="25" t="s">
        <v>134</v>
      </c>
      <c r="AG21" s="25" t="s">
        <v>135</v>
      </c>
      <c r="AH21" s="25" t="s">
        <v>136</v>
      </c>
      <c r="AI21" s="25" t="s">
        <v>137</v>
      </c>
      <c r="AJ21" s="25" t="s">
        <v>138</v>
      </c>
      <c r="AK21" s="25" t="s">
        <v>139</v>
      </c>
      <c r="AL21" s="25" t="s">
        <v>140</v>
      </c>
      <c r="AM21" s="25" t="s">
        <v>141</v>
      </c>
    </row>
    <row r="22" spans="1:39" x14ac:dyDescent="0.25">
      <c r="A22" s="25" t="s">
        <v>33</v>
      </c>
      <c r="B22" s="25" t="s">
        <v>809</v>
      </c>
      <c r="C22" s="25" t="s">
        <v>810</v>
      </c>
      <c r="D22" s="25" t="s">
        <v>811</v>
      </c>
      <c r="E22" s="25" t="s">
        <v>812</v>
      </c>
      <c r="F22" s="25" t="s">
        <v>813</v>
      </c>
      <c r="G22" s="25" t="s">
        <v>814</v>
      </c>
      <c r="H22" s="25" t="s">
        <v>815</v>
      </c>
      <c r="I22" s="25" t="s">
        <v>816</v>
      </c>
      <c r="J22" s="25" t="s">
        <v>817</v>
      </c>
      <c r="K22" s="25" t="s">
        <v>818</v>
      </c>
      <c r="L22" s="25" t="s">
        <v>819</v>
      </c>
      <c r="M22" s="25" t="s">
        <v>820</v>
      </c>
      <c r="N22" s="25" t="s">
        <v>821</v>
      </c>
      <c r="O22" s="25" t="s">
        <v>822</v>
      </c>
      <c r="P22" s="25" t="s">
        <v>823</v>
      </c>
      <c r="Q22" s="25" t="s">
        <v>824</v>
      </c>
      <c r="R22" s="25" t="s">
        <v>825</v>
      </c>
      <c r="S22" s="25" t="s">
        <v>826</v>
      </c>
      <c r="T22" s="25" t="s">
        <v>827</v>
      </c>
      <c r="U22" s="25" t="s">
        <v>828</v>
      </c>
      <c r="V22" s="25" t="s">
        <v>829</v>
      </c>
      <c r="W22" s="25" t="s">
        <v>829</v>
      </c>
      <c r="X22" s="25" t="s">
        <v>830</v>
      </c>
      <c r="Y22" s="25" t="s">
        <v>831</v>
      </c>
      <c r="Z22" s="25" t="s">
        <v>832</v>
      </c>
      <c r="AA22" s="25" t="s">
        <v>833</v>
      </c>
      <c r="AB22" s="25" t="s">
        <v>740</v>
      </c>
      <c r="AC22" s="25" t="s">
        <v>834</v>
      </c>
      <c r="AD22" s="25" t="s">
        <v>835</v>
      </c>
      <c r="AE22" s="25" t="s">
        <v>836</v>
      </c>
      <c r="AF22" s="25" t="s">
        <v>837</v>
      </c>
      <c r="AG22" s="25" t="s">
        <v>838</v>
      </c>
      <c r="AH22" s="25" t="s">
        <v>739</v>
      </c>
      <c r="AI22" s="25" t="s">
        <v>839</v>
      </c>
      <c r="AJ22" s="25" t="s">
        <v>840</v>
      </c>
      <c r="AK22" s="25" t="s">
        <v>841</v>
      </c>
      <c r="AL22" s="25" t="s">
        <v>842</v>
      </c>
      <c r="AM22" s="25" t="s">
        <v>843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B23"/>
  <sheetViews>
    <sheetView topLeftCell="B10" workbookViewId="0">
      <selection activeCell="AA11" sqref="AA11"/>
    </sheetView>
  </sheetViews>
  <sheetFormatPr baseColWidth="10" defaultRowHeight="15" x14ac:dyDescent="0.25"/>
  <cols>
    <col min="1" max="1" width="28.140625" customWidth="1"/>
    <col min="2" max="28" width="7.28515625" customWidth="1"/>
    <col min="29" max="38" width="6" customWidth="1"/>
  </cols>
  <sheetData>
    <row r="1" spans="1:28" ht="21" x14ac:dyDescent="0.35">
      <c r="A1" s="10" t="s">
        <v>212</v>
      </c>
      <c r="B1" s="11" t="s">
        <v>34</v>
      </c>
    </row>
    <row r="2" spans="1:28" x14ac:dyDescent="0.25">
      <c r="A2" t="s">
        <v>172</v>
      </c>
      <c r="B2" t="s">
        <v>36</v>
      </c>
    </row>
    <row r="3" spans="1:28" x14ac:dyDescent="0.25">
      <c r="A3" t="s">
        <v>173</v>
      </c>
      <c r="B3">
        <v>2</v>
      </c>
      <c r="C3">
        <v>0</v>
      </c>
    </row>
    <row r="4" spans="1:28" x14ac:dyDescent="0.25">
      <c r="A4" t="s">
        <v>41</v>
      </c>
      <c r="C4" s="1">
        <v>44881</v>
      </c>
    </row>
    <row r="5" spans="1:28" ht="15.75" x14ac:dyDescent="0.25">
      <c r="A5" s="26">
        <v>44860</v>
      </c>
    </row>
    <row r="7" spans="1:28" x14ac:dyDescent="0.25">
      <c r="B7">
        <v>1995</v>
      </c>
      <c r="C7">
        <v>1996</v>
      </c>
      <c r="D7">
        <v>1997</v>
      </c>
      <c r="E7">
        <v>1998</v>
      </c>
      <c r="F7">
        <v>1999</v>
      </c>
      <c r="G7">
        <v>2000</v>
      </c>
      <c r="H7">
        <v>2001</v>
      </c>
      <c r="I7">
        <v>2002</v>
      </c>
      <c r="J7">
        <v>2003</v>
      </c>
      <c r="K7">
        <v>2004</v>
      </c>
      <c r="L7">
        <v>2005</v>
      </c>
      <c r="M7">
        <v>2006</v>
      </c>
      <c r="N7">
        <v>2007</v>
      </c>
      <c r="O7">
        <v>2008</v>
      </c>
      <c r="P7">
        <v>2009</v>
      </c>
      <c r="Q7">
        <v>2010</v>
      </c>
      <c r="R7">
        <v>2011</v>
      </c>
      <c r="S7">
        <v>2012</v>
      </c>
      <c r="T7">
        <v>2013</v>
      </c>
      <c r="U7">
        <v>2014</v>
      </c>
      <c r="V7">
        <v>2015</v>
      </c>
      <c r="W7">
        <v>2016</v>
      </c>
      <c r="X7">
        <v>2017</v>
      </c>
      <c r="Y7">
        <v>2018</v>
      </c>
      <c r="Z7">
        <v>2019</v>
      </c>
      <c r="AA7">
        <v>2020</v>
      </c>
      <c r="AB7">
        <v>2021</v>
      </c>
    </row>
    <row r="8" spans="1:28" s="3" customFormat="1" x14ac:dyDescent="0.25">
      <c r="A8" s="3" t="s">
        <v>34</v>
      </c>
      <c r="B8" s="4">
        <f>IFERROR(B22/1,"")</f>
        <v>105</v>
      </c>
      <c r="C8" s="4">
        <f t="shared" ref="C8:AB8" si="0">IFERROR(C22/1,"")</f>
        <v>102</v>
      </c>
      <c r="D8" s="4">
        <f t="shared" si="0"/>
        <v>93</v>
      </c>
      <c r="E8" s="4">
        <f t="shared" si="0"/>
        <v>92</v>
      </c>
      <c r="F8" s="4">
        <f t="shared" si="0"/>
        <v>102</v>
      </c>
      <c r="G8" s="4">
        <f t="shared" si="0"/>
        <v>107</v>
      </c>
      <c r="H8" s="4">
        <f t="shared" si="0"/>
        <v>95</v>
      </c>
      <c r="I8" s="4">
        <f t="shared" si="0"/>
        <v>100</v>
      </c>
      <c r="J8" s="4">
        <f t="shared" si="0"/>
        <v>117</v>
      </c>
      <c r="K8" s="4">
        <f t="shared" si="0"/>
        <v>84</v>
      </c>
      <c r="L8" s="4">
        <f t="shared" si="0"/>
        <v>89</v>
      </c>
      <c r="M8" s="4">
        <f t="shared" si="0"/>
        <v>93</v>
      </c>
      <c r="N8" s="4">
        <f t="shared" si="0"/>
        <v>84</v>
      </c>
      <c r="O8" s="4">
        <f t="shared" si="0"/>
        <v>91</v>
      </c>
      <c r="P8" s="4">
        <f t="shared" si="0"/>
        <v>75</v>
      </c>
      <c r="Q8" s="4">
        <f t="shared" si="0"/>
        <v>87</v>
      </c>
      <c r="R8" s="4">
        <f t="shared" si="0"/>
        <v>98</v>
      </c>
      <c r="S8" s="4">
        <f t="shared" si="0"/>
        <v>91</v>
      </c>
      <c r="T8" s="4">
        <f t="shared" si="0"/>
        <v>97</v>
      </c>
      <c r="U8" s="4">
        <f t="shared" si="0"/>
        <v>82</v>
      </c>
      <c r="V8" s="4">
        <f t="shared" si="0"/>
        <v>110</v>
      </c>
      <c r="W8" s="4">
        <f t="shared" si="0"/>
        <v>101</v>
      </c>
      <c r="X8" s="4">
        <f t="shared" si="0"/>
        <v>90</v>
      </c>
      <c r="Y8" s="4">
        <f t="shared" si="0"/>
        <v>109</v>
      </c>
      <c r="Z8" s="4">
        <f t="shared" si="0"/>
        <v>82</v>
      </c>
      <c r="AA8" s="4">
        <f t="shared" si="0"/>
        <v>81</v>
      </c>
      <c r="AB8" s="4">
        <f t="shared" si="0"/>
        <v>62</v>
      </c>
    </row>
    <row r="9" spans="1:28" s="3" customFormat="1" x14ac:dyDescent="0.25">
      <c r="A9" s="3" t="s">
        <v>35</v>
      </c>
      <c r="B9" s="4"/>
      <c r="C9" s="4">
        <f>AVERAGE(B8:D8)</f>
        <v>100</v>
      </c>
      <c r="D9" s="4">
        <f t="shared" ref="D9:AA9" si="1">AVERAGE(C8:E8)</f>
        <v>95.666666666666671</v>
      </c>
      <c r="E9" s="4">
        <f t="shared" si="1"/>
        <v>95.666666666666671</v>
      </c>
      <c r="F9" s="4">
        <f t="shared" si="1"/>
        <v>100.33333333333333</v>
      </c>
      <c r="G9" s="4">
        <f t="shared" si="1"/>
        <v>101.33333333333333</v>
      </c>
      <c r="H9" s="4">
        <f t="shared" si="1"/>
        <v>100.66666666666667</v>
      </c>
      <c r="I9" s="4">
        <f t="shared" si="1"/>
        <v>104</v>
      </c>
      <c r="J9" s="4">
        <f t="shared" si="1"/>
        <v>100.33333333333333</v>
      </c>
      <c r="K9" s="4">
        <f t="shared" si="1"/>
        <v>96.666666666666671</v>
      </c>
      <c r="L9" s="4">
        <f t="shared" si="1"/>
        <v>88.666666666666671</v>
      </c>
      <c r="M9" s="4">
        <f t="shared" si="1"/>
        <v>88.666666666666671</v>
      </c>
      <c r="N9" s="4">
        <f t="shared" si="1"/>
        <v>89.333333333333329</v>
      </c>
      <c r="O9" s="4">
        <f t="shared" si="1"/>
        <v>83.333333333333329</v>
      </c>
      <c r="P9" s="4">
        <f t="shared" si="1"/>
        <v>84.333333333333329</v>
      </c>
      <c r="Q9" s="4">
        <f t="shared" si="1"/>
        <v>86.666666666666671</v>
      </c>
      <c r="R9" s="4">
        <f t="shared" si="1"/>
        <v>92</v>
      </c>
      <c r="S9" s="4">
        <f t="shared" si="1"/>
        <v>95.333333333333329</v>
      </c>
      <c r="T9" s="4">
        <f t="shared" si="1"/>
        <v>90</v>
      </c>
      <c r="U9" s="4">
        <f t="shared" si="1"/>
        <v>96.333333333333329</v>
      </c>
      <c r="V9" s="4">
        <f t="shared" si="1"/>
        <v>97.666666666666671</v>
      </c>
      <c r="W9" s="4">
        <f t="shared" si="1"/>
        <v>100.33333333333333</v>
      </c>
      <c r="X9" s="4">
        <f t="shared" si="1"/>
        <v>100</v>
      </c>
      <c r="Y9" s="4">
        <f t="shared" si="1"/>
        <v>93.666666666666671</v>
      </c>
      <c r="Z9" s="4">
        <f t="shared" si="1"/>
        <v>90.666666666666671</v>
      </c>
      <c r="AA9" s="4">
        <f t="shared" si="1"/>
        <v>75</v>
      </c>
      <c r="AB9" s="4"/>
    </row>
    <row r="21" spans="1:28" x14ac:dyDescent="0.25">
      <c r="A21" s="25" t="s">
        <v>224</v>
      </c>
      <c r="B21" s="25" t="s">
        <v>116</v>
      </c>
      <c r="C21" s="25" t="s">
        <v>117</v>
      </c>
      <c r="D21" s="25" t="s">
        <v>118</v>
      </c>
      <c r="E21" s="25" t="s">
        <v>119</v>
      </c>
      <c r="F21" s="25" t="s">
        <v>120</v>
      </c>
      <c r="G21" s="25" t="s">
        <v>121</v>
      </c>
      <c r="H21" s="25" t="s">
        <v>122</v>
      </c>
      <c r="I21" s="25" t="s">
        <v>123</v>
      </c>
      <c r="J21" s="25" t="s">
        <v>124</v>
      </c>
      <c r="K21" s="25" t="s">
        <v>125</v>
      </c>
      <c r="L21" s="25" t="s">
        <v>126</v>
      </c>
      <c r="M21" s="25" t="s">
        <v>127</v>
      </c>
      <c r="N21" s="25" t="s">
        <v>128</v>
      </c>
      <c r="O21" s="25" t="s">
        <v>129</v>
      </c>
      <c r="P21" s="25" t="s">
        <v>130</v>
      </c>
      <c r="Q21" s="25" t="s">
        <v>131</v>
      </c>
      <c r="R21" s="25" t="s">
        <v>132</v>
      </c>
      <c r="S21" s="25" t="s">
        <v>133</v>
      </c>
      <c r="T21" s="25" t="s">
        <v>134</v>
      </c>
      <c r="U21" s="25" t="s">
        <v>135</v>
      </c>
      <c r="V21" s="25" t="s">
        <v>136</v>
      </c>
      <c r="W21" s="25" t="s">
        <v>137</v>
      </c>
      <c r="X21" s="25" t="s">
        <v>138</v>
      </c>
      <c r="Y21" s="25" t="s">
        <v>139</v>
      </c>
      <c r="Z21" s="25" t="s">
        <v>140</v>
      </c>
      <c r="AA21" s="25" t="s">
        <v>141</v>
      </c>
      <c r="AB21" s="25" t="s">
        <v>214</v>
      </c>
    </row>
    <row r="22" spans="1:28" x14ac:dyDescent="0.25">
      <c r="A22" s="25" t="s">
        <v>34</v>
      </c>
      <c r="B22" s="25" t="s">
        <v>369</v>
      </c>
      <c r="C22" s="25" t="s">
        <v>844</v>
      </c>
      <c r="D22" s="25" t="s">
        <v>845</v>
      </c>
      <c r="E22" s="25" t="s">
        <v>846</v>
      </c>
      <c r="F22" s="25" t="s">
        <v>844</v>
      </c>
      <c r="G22" s="25" t="s">
        <v>847</v>
      </c>
      <c r="H22" s="25" t="s">
        <v>848</v>
      </c>
      <c r="I22" s="25" t="s">
        <v>370</v>
      </c>
      <c r="J22" s="25" t="s">
        <v>849</v>
      </c>
      <c r="K22" s="25" t="s">
        <v>861</v>
      </c>
      <c r="L22" s="25" t="s">
        <v>851</v>
      </c>
      <c r="M22" s="25" t="s">
        <v>845</v>
      </c>
      <c r="N22" s="25" t="s">
        <v>861</v>
      </c>
      <c r="O22" s="25" t="s">
        <v>853</v>
      </c>
      <c r="P22" s="25" t="s">
        <v>674</v>
      </c>
      <c r="Q22" s="25" t="s">
        <v>675</v>
      </c>
      <c r="R22" s="25" t="s">
        <v>854</v>
      </c>
      <c r="S22" s="25" t="s">
        <v>853</v>
      </c>
      <c r="T22" s="25" t="s">
        <v>858</v>
      </c>
      <c r="U22" s="25" t="s">
        <v>879</v>
      </c>
      <c r="V22" s="25" t="s">
        <v>880</v>
      </c>
      <c r="W22" s="25" t="s">
        <v>859</v>
      </c>
      <c r="X22" s="25" t="s">
        <v>855</v>
      </c>
      <c r="Y22" s="25" t="s">
        <v>857</v>
      </c>
      <c r="Z22" s="25" t="s">
        <v>879</v>
      </c>
      <c r="AA22" s="25" t="s">
        <v>673</v>
      </c>
      <c r="AB22" s="25" t="s">
        <v>881</v>
      </c>
    </row>
    <row r="23" spans="1:28" x14ac:dyDescent="0.25">
      <c r="A23" s="25" t="s">
        <v>35</v>
      </c>
      <c r="B23" s="25" t="s">
        <v>225</v>
      </c>
      <c r="C23" s="25" t="s">
        <v>370</v>
      </c>
      <c r="D23" s="25" t="s">
        <v>856</v>
      </c>
      <c r="E23" s="25" t="s">
        <v>848</v>
      </c>
      <c r="F23" s="25" t="s">
        <v>370</v>
      </c>
      <c r="G23" s="25" t="s">
        <v>859</v>
      </c>
      <c r="H23" s="25" t="s">
        <v>370</v>
      </c>
      <c r="I23" s="25" t="s">
        <v>860</v>
      </c>
      <c r="J23" s="25" t="s">
        <v>370</v>
      </c>
      <c r="K23" s="25" t="s">
        <v>858</v>
      </c>
      <c r="L23" s="25" t="s">
        <v>851</v>
      </c>
      <c r="M23" s="25" t="s">
        <v>851</v>
      </c>
      <c r="N23" s="25" t="s">
        <v>851</v>
      </c>
      <c r="O23" s="25" t="s">
        <v>852</v>
      </c>
      <c r="P23" s="25" t="s">
        <v>850</v>
      </c>
      <c r="Q23" s="25" t="s">
        <v>675</v>
      </c>
      <c r="R23" s="25" t="s">
        <v>846</v>
      </c>
      <c r="S23" s="25" t="s">
        <v>848</v>
      </c>
      <c r="T23" s="25" t="s">
        <v>855</v>
      </c>
      <c r="U23" s="25" t="s">
        <v>856</v>
      </c>
      <c r="V23" s="25" t="s">
        <v>854</v>
      </c>
      <c r="W23" s="25" t="s">
        <v>370</v>
      </c>
      <c r="X23" s="25" t="s">
        <v>370</v>
      </c>
      <c r="Y23" s="25" t="s">
        <v>845</v>
      </c>
      <c r="Z23" s="25" t="s">
        <v>855</v>
      </c>
      <c r="AA23" s="25" t="s">
        <v>674</v>
      </c>
      <c r="AB23" s="25" t="s">
        <v>225</v>
      </c>
    </row>
  </sheetData>
  <hyperlinks>
    <hyperlink ref="A1" location="Inhalt!A1" display="zurück Zur Übersicht"/>
  </hyperlink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N27"/>
  <sheetViews>
    <sheetView workbookViewId="0">
      <selection activeCell="A21" sqref="A21:N24"/>
    </sheetView>
  </sheetViews>
  <sheetFormatPr baseColWidth="10" defaultRowHeight="15" x14ac:dyDescent="0.25"/>
  <cols>
    <col min="1" max="1" width="23.5703125" customWidth="1"/>
    <col min="2" max="4" width="7.28515625" style="2" customWidth="1"/>
    <col min="5" max="19" width="7.28515625" customWidth="1"/>
  </cols>
  <sheetData>
    <row r="1" spans="1:14" ht="21" x14ac:dyDescent="0.35">
      <c r="A1" s="10" t="s">
        <v>212</v>
      </c>
      <c r="B1" s="12" t="s">
        <v>55</v>
      </c>
    </row>
    <row r="2" spans="1:14" x14ac:dyDescent="0.25">
      <c r="A2" t="s">
        <v>172</v>
      </c>
      <c r="B2" t="s">
        <v>40</v>
      </c>
    </row>
    <row r="3" spans="1:14" x14ac:dyDescent="0.25">
      <c r="A3" t="s">
        <v>173</v>
      </c>
      <c r="B3" s="2">
        <v>1</v>
      </c>
    </row>
    <row r="4" spans="1:14" x14ac:dyDescent="0.25">
      <c r="A4" t="s">
        <v>41</v>
      </c>
    </row>
    <row r="5" spans="1:14" ht="15.75" x14ac:dyDescent="0.25">
      <c r="A5" s="26">
        <v>44860</v>
      </c>
    </row>
    <row r="7" spans="1:14" x14ac:dyDescent="0.25">
      <c r="B7" s="2" t="s">
        <v>130</v>
      </c>
      <c r="C7" s="2" t="s">
        <v>131</v>
      </c>
      <c r="D7" s="2" t="s">
        <v>132</v>
      </c>
      <c r="E7" t="s">
        <v>133</v>
      </c>
      <c r="F7" t="s">
        <v>134</v>
      </c>
      <c r="G7" t="s">
        <v>135</v>
      </c>
      <c r="H7" t="s">
        <v>136</v>
      </c>
      <c r="I7" t="s">
        <v>137</v>
      </c>
      <c r="J7" t="s">
        <v>138</v>
      </c>
      <c r="K7" t="s">
        <v>139</v>
      </c>
      <c r="L7" t="s">
        <v>140</v>
      </c>
      <c r="M7" t="s">
        <v>141</v>
      </c>
      <c r="N7" t="s">
        <v>214</v>
      </c>
    </row>
    <row r="8" spans="1:14" x14ac:dyDescent="0.25">
      <c r="A8" t="s">
        <v>37</v>
      </c>
      <c r="B8" s="2">
        <f>IFERROR(B22/1,"")</f>
        <v>7.6</v>
      </c>
      <c r="C8" s="2">
        <f t="shared" ref="C8:N8" si="0">IFERROR(C22/1,"")</f>
        <v>7.2</v>
      </c>
      <c r="D8" s="2">
        <f t="shared" si="0"/>
        <v>6.7</v>
      </c>
      <c r="E8" s="2">
        <f t="shared" si="0"/>
        <v>6.5</v>
      </c>
      <c r="F8" s="2">
        <f t="shared" si="0"/>
        <v>6.5</v>
      </c>
      <c r="G8" s="2">
        <f t="shared" si="0"/>
        <v>6.1</v>
      </c>
      <c r="H8" s="2">
        <f t="shared" si="0"/>
        <v>5.9</v>
      </c>
      <c r="I8" s="2">
        <f t="shared" si="0"/>
        <v>5.9</v>
      </c>
      <c r="J8" s="2">
        <f t="shared" si="0"/>
        <v>6.1</v>
      </c>
      <c r="K8" s="2">
        <f t="shared" si="0"/>
        <v>6.1</v>
      </c>
      <c r="L8" s="2">
        <f t="shared" si="0"/>
        <v>5.9</v>
      </c>
      <c r="M8" s="2">
        <f t="shared" si="0"/>
        <v>5.8</v>
      </c>
      <c r="N8" s="2">
        <f t="shared" si="0"/>
        <v>5.8</v>
      </c>
    </row>
    <row r="9" spans="1:14" x14ac:dyDescent="0.25">
      <c r="A9" t="s">
        <v>38</v>
      </c>
      <c r="B9" s="2">
        <f t="shared" ref="B9:N10" si="1">IFERROR(B23/1,"")</f>
        <v>4.0999999999999996</v>
      </c>
      <c r="C9" s="2">
        <f t="shared" si="1"/>
        <v>4.0999999999999996</v>
      </c>
      <c r="D9" s="2">
        <f t="shared" si="1"/>
        <v>4.0999999999999996</v>
      </c>
      <c r="E9" s="2">
        <f t="shared" si="1"/>
        <v>4.2</v>
      </c>
      <c r="F9" s="2">
        <f t="shared" si="1"/>
        <v>4.2</v>
      </c>
      <c r="G9" s="2">
        <f t="shared" si="1"/>
        <v>4.5999999999999996</v>
      </c>
      <c r="H9" s="2">
        <f t="shared" si="1"/>
        <v>5</v>
      </c>
      <c r="I9" s="2">
        <f t="shared" si="1"/>
        <v>5</v>
      </c>
      <c r="J9" s="2">
        <f t="shared" si="1"/>
        <v>4.9000000000000004</v>
      </c>
      <c r="K9" s="2">
        <f t="shared" si="1"/>
        <v>4.5999999999999996</v>
      </c>
      <c r="L9" s="2">
        <f t="shared" si="1"/>
        <v>4.7</v>
      </c>
      <c r="M9" s="2">
        <f t="shared" si="1"/>
        <v>4.7</v>
      </c>
      <c r="N9" s="2">
        <f t="shared" si="1"/>
        <v>4.7</v>
      </c>
    </row>
    <row r="10" spans="1:14" x14ac:dyDescent="0.25">
      <c r="A10" t="s">
        <v>39</v>
      </c>
      <c r="B10" s="2">
        <f t="shared" si="1"/>
        <v>2.1</v>
      </c>
      <c r="C10" s="2">
        <f t="shared" si="1"/>
        <v>2.1</v>
      </c>
      <c r="D10" s="2">
        <f t="shared" si="1"/>
        <v>2.1</v>
      </c>
      <c r="E10" s="2">
        <f t="shared" si="1"/>
        <v>2.1</v>
      </c>
      <c r="F10" s="2">
        <f t="shared" si="1"/>
        <v>2.1</v>
      </c>
      <c r="G10" s="2">
        <f t="shared" si="1"/>
        <v>2.2000000000000002</v>
      </c>
      <c r="H10" s="2">
        <f t="shared" si="1"/>
        <v>2.2000000000000002</v>
      </c>
      <c r="I10" s="2">
        <f t="shared" si="1"/>
        <v>2.4</v>
      </c>
      <c r="J10" s="2">
        <f t="shared" si="1"/>
        <v>2.6</v>
      </c>
      <c r="K10" s="2">
        <f t="shared" si="1"/>
        <v>2.5</v>
      </c>
      <c r="L10" s="2">
        <f t="shared" si="1"/>
        <v>2.5</v>
      </c>
      <c r="M10" s="2">
        <f t="shared" si="1"/>
        <v>2.5</v>
      </c>
      <c r="N10" s="2">
        <f t="shared" si="1"/>
        <v>2.5</v>
      </c>
    </row>
    <row r="21" spans="1:14" x14ac:dyDescent="0.25">
      <c r="A21" s="25" t="s">
        <v>224</v>
      </c>
      <c r="B21" s="25" t="s">
        <v>130</v>
      </c>
      <c r="C21" s="25" t="s">
        <v>131</v>
      </c>
      <c r="D21" s="25" t="s">
        <v>132</v>
      </c>
      <c r="E21" s="25" t="s">
        <v>133</v>
      </c>
      <c r="F21" s="25" t="s">
        <v>134</v>
      </c>
      <c r="G21" s="25" t="s">
        <v>135</v>
      </c>
      <c r="H21" s="25" t="s">
        <v>136</v>
      </c>
      <c r="I21" s="25" t="s">
        <v>137</v>
      </c>
      <c r="J21" s="25" t="s">
        <v>138</v>
      </c>
      <c r="K21" s="25" t="s">
        <v>139</v>
      </c>
      <c r="L21" s="25" t="s">
        <v>140</v>
      </c>
      <c r="M21" s="25" t="s">
        <v>141</v>
      </c>
      <c r="N21" s="25" t="s">
        <v>214</v>
      </c>
    </row>
    <row r="22" spans="1:14" x14ac:dyDescent="0.25">
      <c r="A22" s="25" t="s">
        <v>37</v>
      </c>
      <c r="B22" s="25" t="s">
        <v>862</v>
      </c>
      <c r="C22" s="25" t="s">
        <v>325</v>
      </c>
      <c r="D22" s="25" t="s">
        <v>327</v>
      </c>
      <c r="E22" s="25" t="s">
        <v>328</v>
      </c>
      <c r="F22" s="25" t="s">
        <v>328</v>
      </c>
      <c r="G22" s="25" t="s">
        <v>309</v>
      </c>
      <c r="H22" s="25" t="s">
        <v>866</v>
      </c>
      <c r="I22" s="25" t="s">
        <v>866</v>
      </c>
      <c r="J22" s="25" t="s">
        <v>309</v>
      </c>
      <c r="K22" s="25" t="s">
        <v>309</v>
      </c>
      <c r="L22" s="25" t="s">
        <v>866</v>
      </c>
      <c r="M22" s="25" t="s">
        <v>345</v>
      </c>
      <c r="N22" s="25" t="s">
        <v>345</v>
      </c>
    </row>
    <row r="23" spans="1:14" x14ac:dyDescent="0.25">
      <c r="A23" s="25" t="s">
        <v>38</v>
      </c>
      <c r="B23" s="25" t="s">
        <v>312</v>
      </c>
      <c r="C23" s="25" t="s">
        <v>312</v>
      </c>
      <c r="D23" s="25" t="s">
        <v>312</v>
      </c>
      <c r="E23" s="25" t="s">
        <v>323</v>
      </c>
      <c r="F23" s="25" t="s">
        <v>323</v>
      </c>
      <c r="G23" s="25" t="s">
        <v>864</v>
      </c>
      <c r="H23" s="25" t="s">
        <v>314</v>
      </c>
      <c r="I23" s="25" t="s">
        <v>314</v>
      </c>
      <c r="J23" s="25" t="s">
        <v>867</v>
      </c>
      <c r="K23" s="25" t="s">
        <v>864</v>
      </c>
      <c r="L23" s="25" t="s">
        <v>346</v>
      </c>
      <c r="M23" s="25" t="s">
        <v>346</v>
      </c>
      <c r="N23" s="25" t="s">
        <v>346</v>
      </c>
    </row>
    <row r="24" spans="1:14" x14ac:dyDescent="0.25">
      <c r="A24" s="25" t="s">
        <v>39</v>
      </c>
      <c r="B24" s="25" t="s">
        <v>863</v>
      </c>
      <c r="C24" s="25" t="s">
        <v>863</v>
      </c>
      <c r="D24" s="25" t="s">
        <v>863</v>
      </c>
      <c r="E24" s="25" t="s">
        <v>863</v>
      </c>
      <c r="F24" s="25" t="s">
        <v>863</v>
      </c>
      <c r="G24" s="25" t="s">
        <v>865</v>
      </c>
      <c r="H24" s="25" t="s">
        <v>865</v>
      </c>
      <c r="I24" s="25" t="s">
        <v>333</v>
      </c>
      <c r="J24" s="25" t="s">
        <v>664</v>
      </c>
      <c r="K24" s="25" t="s">
        <v>868</v>
      </c>
      <c r="L24" s="25" t="s">
        <v>868</v>
      </c>
      <c r="M24" s="25" t="s">
        <v>868</v>
      </c>
      <c r="N24" s="25" t="s">
        <v>868</v>
      </c>
    </row>
    <row r="27" spans="1:14" x14ac:dyDescent="0.25">
      <c r="B27" s="2" t="str">
        <f>IFERROR(nlr_09_hnv_flaechen[[#This Row],[2009]]/1,"")</f>
        <v/>
      </c>
      <c r="C27" s="2" t="str">
        <f>IFERROR(nlr_09_hnv_flaechen[[#This Row],[2010]]/1,"")</f>
        <v/>
      </c>
      <c r="D27" s="2" t="str">
        <f>IFERROR(nlr_09_hnv_flaechen[[#This Row],[2011]]/1,"")</f>
        <v/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X29"/>
  <sheetViews>
    <sheetView workbookViewId="0">
      <selection activeCell="B5" sqref="B5"/>
    </sheetView>
  </sheetViews>
  <sheetFormatPr baseColWidth="10" defaultRowHeight="15" x14ac:dyDescent="0.25"/>
  <cols>
    <col min="1" max="1" width="29.7109375" customWidth="1"/>
    <col min="2" max="2" width="7.28515625" customWidth="1"/>
    <col min="3" max="3" width="12" customWidth="1"/>
    <col min="4" max="4" width="7.28515625" customWidth="1"/>
    <col min="5" max="5" width="12" customWidth="1"/>
    <col min="6" max="6" width="7.28515625" customWidth="1"/>
    <col min="7" max="7" width="12" customWidth="1"/>
    <col min="8" max="24" width="7.28515625" customWidth="1"/>
    <col min="25" max="59" width="8" customWidth="1"/>
  </cols>
  <sheetData>
    <row r="1" spans="1:24" ht="21" x14ac:dyDescent="0.35">
      <c r="A1" s="10" t="s">
        <v>212</v>
      </c>
      <c r="B1" s="11" t="s">
        <v>43</v>
      </c>
    </row>
    <row r="2" spans="1:24" x14ac:dyDescent="0.25">
      <c r="A2" t="s">
        <v>172</v>
      </c>
      <c r="B2" t="s">
        <v>1</v>
      </c>
    </row>
    <row r="3" spans="1:24" x14ac:dyDescent="0.25">
      <c r="A3" t="s">
        <v>173</v>
      </c>
      <c r="B3">
        <v>1</v>
      </c>
    </row>
    <row r="4" spans="1:24" x14ac:dyDescent="0.25">
      <c r="A4" t="s">
        <v>41</v>
      </c>
    </row>
    <row r="5" spans="1:24" ht="15.75" x14ac:dyDescent="0.25">
      <c r="A5" s="26">
        <v>44860</v>
      </c>
    </row>
    <row r="7" spans="1:24" x14ac:dyDescent="0.25">
      <c r="B7">
        <v>1990</v>
      </c>
      <c r="C7" t="s">
        <v>226</v>
      </c>
      <c r="D7">
        <v>1995</v>
      </c>
      <c r="E7" t="s">
        <v>227</v>
      </c>
      <c r="F7">
        <v>2000</v>
      </c>
      <c r="G7" t="s">
        <v>228</v>
      </c>
      <c r="H7">
        <v>2005</v>
      </c>
      <c r="I7">
        <v>2006</v>
      </c>
      <c r="J7">
        <v>2007</v>
      </c>
      <c r="K7">
        <v>2008</v>
      </c>
      <c r="L7">
        <v>2009</v>
      </c>
      <c r="M7">
        <v>2010</v>
      </c>
      <c r="N7">
        <v>2011</v>
      </c>
      <c r="O7">
        <v>2012</v>
      </c>
      <c r="P7">
        <v>2013</v>
      </c>
      <c r="Q7">
        <v>2014</v>
      </c>
      <c r="R7">
        <v>2015</v>
      </c>
      <c r="S7">
        <v>2016</v>
      </c>
      <c r="T7">
        <v>2017</v>
      </c>
      <c r="U7">
        <v>2018</v>
      </c>
      <c r="V7">
        <v>2019</v>
      </c>
      <c r="W7">
        <v>2020</v>
      </c>
      <c r="X7">
        <v>2021</v>
      </c>
    </row>
    <row r="8" spans="1:24" s="2" customFormat="1" x14ac:dyDescent="0.25">
      <c r="A8" s="2" t="s">
        <v>60</v>
      </c>
      <c r="B8" s="2">
        <f>IFERROR(B22/1,"")</f>
        <v>159.4</v>
      </c>
      <c r="C8" s="2" t="str">
        <f t="shared" ref="C8:X15" si="0">IFERROR(C22/1,"")</f>
        <v/>
      </c>
      <c r="D8" s="2">
        <f t="shared" si="0"/>
        <v>164.8</v>
      </c>
      <c r="E8" s="2" t="str">
        <f t="shared" si="0"/>
        <v/>
      </c>
      <c r="F8" s="2">
        <f t="shared" si="0"/>
        <v>159.19999999999999</v>
      </c>
      <c r="G8" s="2" t="str">
        <f t="shared" si="0"/>
        <v/>
      </c>
      <c r="H8" s="2">
        <f t="shared" si="0"/>
        <v>174.4</v>
      </c>
      <c r="I8" s="2">
        <f t="shared" si="0"/>
        <v>179.4</v>
      </c>
      <c r="J8" s="2">
        <f t="shared" si="0"/>
        <v>185.6</v>
      </c>
      <c r="K8" s="2">
        <f t="shared" si="0"/>
        <v>176.2</v>
      </c>
      <c r="L8" s="2">
        <f t="shared" si="0"/>
        <v>157.6</v>
      </c>
      <c r="M8" s="2">
        <f t="shared" si="0"/>
        <v>167.2</v>
      </c>
      <c r="N8" s="2">
        <f t="shared" si="0"/>
        <v>166.6</v>
      </c>
      <c r="O8" s="2">
        <f t="shared" si="0"/>
        <v>168.9</v>
      </c>
      <c r="P8" s="2">
        <f t="shared" si="0"/>
        <v>170.3</v>
      </c>
      <c r="Q8" s="2">
        <f t="shared" si="0"/>
        <v>160.9</v>
      </c>
      <c r="R8" s="2">
        <f t="shared" si="0"/>
        <v>150.9</v>
      </c>
      <c r="S8" s="2">
        <f t="shared" si="0"/>
        <v>150.4</v>
      </c>
      <c r="T8" s="2">
        <f t="shared" si="0"/>
        <v>138.30000000000001</v>
      </c>
      <c r="U8" s="2">
        <f t="shared" si="0"/>
        <v>130.1</v>
      </c>
      <c r="V8" s="2">
        <f t="shared" si="0"/>
        <v>94.5</v>
      </c>
      <c r="W8" s="2">
        <f t="shared" si="0"/>
        <v>80.400000000000006</v>
      </c>
      <c r="X8" s="2">
        <f t="shared" si="0"/>
        <v>90.8</v>
      </c>
    </row>
    <row r="9" spans="1:24" s="2" customFormat="1" x14ac:dyDescent="0.25">
      <c r="A9" s="2" t="s">
        <v>12</v>
      </c>
      <c r="B9" s="2">
        <f t="shared" ref="B9:Q15" si="1">IFERROR(B23/1,"")</f>
        <v>94.3</v>
      </c>
      <c r="C9" s="2" t="str">
        <f t="shared" si="1"/>
        <v/>
      </c>
      <c r="D9" s="2">
        <f t="shared" si="1"/>
        <v>80.099999999999994</v>
      </c>
      <c r="E9" s="2" t="str">
        <f t="shared" si="1"/>
        <v/>
      </c>
      <c r="F9" s="2">
        <f t="shared" si="1"/>
        <v>70.8</v>
      </c>
      <c r="G9" s="2" t="str">
        <f t="shared" si="1"/>
        <v/>
      </c>
      <c r="H9" s="2">
        <f t="shared" si="1"/>
        <v>62.7</v>
      </c>
      <c r="I9" s="2">
        <f t="shared" si="1"/>
        <v>63.5</v>
      </c>
      <c r="J9" s="2">
        <f t="shared" si="1"/>
        <v>62.4</v>
      </c>
      <c r="K9" s="2">
        <f t="shared" si="1"/>
        <v>60.3</v>
      </c>
      <c r="L9" s="2">
        <f t="shared" si="1"/>
        <v>47.5</v>
      </c>
      <c r="M9" s="2">
        <f t="shared" si="1"/>
        <v>57</v>
      </c>
      <c r="N9" s="2">
        <f t="shared" si="1"/>
        <v>55.3</v>
      </c>
      <c r="O9" s="2">
        <f t="shared" si="1"/>
        <v>53.6</v>
      </c>
      <c r="P9" s="2">
        <f t="shared" si="1"/>
        <v>54.6</v>
      </c>
      <c r="Q9" s="2">
        <f t="shared" si="1"/>
        <v>54.5</v>
      </c>
      <c r="R9" s="2">
        <f t="shared" si="0"/>
        <v>54.7</v>
      </c>
      <c r="S9" s="2">
        <f t="shared" si="0"/>
        <v>54.4</v>
      </c>
      <c r="T9" s="2">
        <f t="shared" si="0"/>
        <v>54.7</v>
      </c>
      <c r="U9" s="2">
        <f t="shared" si="0"/>
        <v>54.5</v>
      </c>
      <c r="V9" s="2">
        <f t="shared" si="0"/>
        <v>58.8</v>
      </c>
      <c r="W9" s="2">
        <f t="shared" si="0"/>
        <v>54.3</v>
      </c>
      <c r="X9" s="2">
        <f t="shared" si="0"/>
        <v>58.4</v>
      </c>
    </row>
    <row r="10" spans="1:24" s="2" customFormat="1" x14ac:dyDescent="0.25">
      <c r="A10" s="2" t="s">
        <v>61</v>
      </c>
      <c r="B10" s="2">
        <f t="shared" si="1"/>
        <v>36.200000000000003</v>
      </c>
      <c r="C10" s="2" t="str">
        <f t="shared" si="0"/>
        <v/>
      </c>
      <c r="D10" s="2">
        <f t="shared" si="0"/>
        <v>38.299999999999997</v>
      </c>
      <c r="E10" s="2" t="str">
        <f t="shared" si="0"/>
        <v/>
      </c>
      <c r="F10" s="2">
        <f t="shared" si="0"/>
        <v>39.799999999999997</v>
      </c>
      <c r="G10" s="2" t="str">
        <f t="shared" si="0"/>
        <v/>
      </c>
      <c r="H10" s="2">
        <f t="shared" si="0"/>
        <v>36.700000000000003</v>
      </c>
      <c r="I10" s="2">
        <f t="shared" si="0"/>
        <v>36.1</v>
      </c>
      <c r="J10" s="2">
        <f t="shared" si="0"/>
        <v>35.1</v>
      </c>
      <c r="K10" s="2">
        <f t="shared" si="0"/>
        <v>35</v>
      </c>
      <c r="L10" s="2">
        <f t="shared" si="0"/>
        <v>34.5</v>
      </c>
      <c r="M10" s="2">
        <f t="shared" si="0"/>
        <v>32.6</v>
      </c>
      <c r="N10" s="2">
        <f t="shared" si="0"/>
        <v>33</v>
      </c>
      <c r="O10" s="2">
        <f t="shared" si="0"/>
        <v>33.1</v>
      </c>
      <c r="P10" s="2">
        <f t="shared" si="0"/>
        <v>31.9</v>
      </c>
      <c r="Q10" s="2">
        <f t="shared" si="0"/>
        <v>32.200000000000003</v>
      </c>
      <c r="R10" s="2">
        <f t="shared" si="0"/>
        <v>32.299999999999997</v>
      </c>
      <c r="S10" s="2">
        <f t="shared" si="0"/>
        <v>33.4</v>
      </c>
      <c r="T10" s="2">
        <f t="shared" si="0"/>
        <v>33.700000000000003</v>
      </c>
      <c r="U10" s="2">
        <f t="shared" si="0"/>
        <v>32.700000000000003</v>
      </c>
      <c r="V10" s="2">
        <f t="shared" si="0"/>
        <v>31.4</v>
      </c>
      <c r="W10" s="2">
        <f t="shared" si="0"/>
        <v>30</v>
      </c>
      <c r="X10" s="2">
        <f t="shared" si="0"/>
        <v>30.1</v>
      </c>
    </row>
    <row r="11" spans="1:24" s="2" customFormat="1" x14ac:dyDescent="0.25">
      <c r="A11" s="2" t="s">
        <v>62</v>
      </c>
      <c r="B11" s="2">
        <f t="shared" si="1"/>
        <v>37.299999999999997</v>
      </c>
      <c r="C11" s="2" t="str">
        <f t="shared" si="0"/>
        <v/>
      </c>
      <c r="D11" s="2">
        <f t="shared" si="0"/>
        <v>43.6</v>
      </c>
      <c r="E11" s="2" t="str">
        <f t="shared" si="0"/>
        <v/>
      </c>
      <c r="F11" s="2">
        <f t="shared" si="0"/>
        <v>40.9</v>
      </c>
      <c r="G11" s="2" t="str">
        <f t="shared" si="0"/>
        <v/>
      </c>
      <c r="H11" s="2">
        <f t="shared" si="0"/>
        <v>35.700000000000003</v>
      </c>
      <c r="I11" s="2">
        <f t="shared" si="0"/>
        <v>37.799999999999997</v>
      </c>
      <c r="J11" s="2">
        <f t="shared" si="0"/>
        <v>29.7</v>
      </c>
      <c r="K11" s="2">
        <f t="shared" si="0"/>
        <v>37.5</v>
      </c>
      <c r="L11" s="2">
        <f t="shared" si="0"/>
        <v>34.799999999999997</v>
      </c>
      <c r="M11" s="2">
        <f t="shared" si="0"/>
        <v>33.4</v>
      </c>
      <c r="N11" s="2">
        <f t="shared" si="0"/>
        <v>28.6</v>
      </c>
      <c r="O11" s="2">
        <f t="shared" si="0"/>
        <v>28.6</v>
      </c>
      <c r="P11" s="2">
        <f t="shared" si="0"/>
        <v>32</v>
      </c>
      <c r="Q11" s="2">
        <f t="shared" si="0"/>
        <v>29</v>
      </c>
      <c r="R11" s="2">
        <f t="shared" si="0"/>
        <v>29.9</v>
      </c>
      <c r="S11" s="2">
        <f t="shared" si="0"/>
        <v>30.3</v>
      </c>
      <c r="T11" s="2">
        <f t="shared" si="0"/>
        <v>31.9</v>
      </c>
      <c r="U11" s="2">
        <f t="shared" si="0"/>
        <v>28.3</v>
      </c>
      <c r="V11" s="2">
        <f t="shared" si="0"/>
        <v>28.5</v>
      </c>
      <c r="W11" s="2">
        <f t="shared" si="0"/>
        <v>26.4</v>
      </c>
      <c r="X11" s="2">
        <f t="shared" si="0"/>
        <v>25.5</v>
      </c>
    </row>
    <row r="12" spans="1:24" s="2" customFormat="1" x14ac:dyDescent="0.25">
      <c r="A12" s="2" t="s">
        <v>63</v>
      </c>
      <c r="B12" s="2">
        <f t="shared" si="1"/>
        <v>23.4</v>
      </c>
      <c r="C12" s="2" t="str">
        <f t="shared" si="0"/>
        <v/>
      </c>
      <c r="D12" s="2">
        <f t="shared" si="0"/>
        <v>17.600000000000001</v>
      </c>
      <c r="E12" s="2" t="str">
        <f t="shared" si="0"/>
        <v/>
      </c>
      <c r="F12" s="2">
        <f t="shared" si="0"/>
        <v>14.1</v>
      </c>
      <c r="G12" s="2" t="str">
        <f t="shared" si="0"/>
        <v/>
      </c>
      <c r="H12" s="2">
        <f t="shared" si="0"/>
        <v>7.1</v>
      </c>
      <c r="I12" s="2">
        <f t="shared" si="0"/>
        <v>6.4</v>
      </c>
      <c r="J12" s="2">
        <f t="shared" si="0"/>
        <v>6.2</v>
      </c>
      <c r="K12" s="2">
        <f t="shared" si="0"/>
        <v>6.1</v>
      </c>
      <c r="L12" s="2">
        <f t="shared" si="0"/>
        <v>4.5</v>
      </c>
      <c r="M12" s="2">
        <f t="shared" si="0"/>
        <v>4.3</v>
      </c>
      <c r="N12" s="2">
        <f t="shared" si="0"/>
        <v>4.0999999999999996</v>
      </c>
      <c r="O12" s="2">
        <f t="shared" si="0"/>
        <v>4.8</v>
      </c>
      <c r="P12" s="2">
        <f t="shared" si="0"/>
        <v>5</v>
      </c>
      <c r="Q12" s="2">
        <f t="shared" si="0"/>
        <v>4.0999999999999996</v>
      </c>
      <c r="R12" s="2">
        <f t="shared" si="0"/>
        <v>4.5</v>
      </c>
      <c r="S12" s="2">
        <f t="shared" si="0"/>
        <v>3.8</v>
      </c>
      <c r="T12" s="2">
        <f t="shared" si="0"/>
        <v>4</v>
      </c>
      <c r="U12" s="2">
        <f t="shared" si="0"/>
        <v>3.3</v>
      </c>
      <c r="V12" s="2">
        <f t="shared" si="0"/>
        <v>3.5</v>
      </c>
      <c r="W12" s="2">
        <f t="shared" si="0"/>
        <v>1.9</v>
      </c>
      <c r="X12" s="2">
        <f t="shared" si="0"/>
        <v>1.9</v>
      </c>
    </row>
    <row r="13" spans="1:24" s="2" customFormat="1" x14ac:dyDescent="0.25">
      <c r="A13" s="2" t="s">
        <v>64</v>
      </c>
      <c r="B13" s="2">
        <f t="shared" si="1"/>
        <v>3.5</v>
      </c>
      <c r="C13" s="2" t="str">
        <f t="shared" si="0"/>
        <v/>
      </c>
      <c r="D13" s="2">
        <f t="shared" si="0"/>
        <v>4.3</v>
      </c>
      <c r="E13" s="2" t="str">
        <f t="shared" si="0"/>
        <v/>
      </c>
      <c r="F13" s="2">
        <f t="shared" si="0"/>
        <v>3.6</v>
      </c>
      <c r="G13" s="2" t="str">
        <f t="shared" si="0"/>
        <v/>
      </c>
      <c r="H13" s="2">
        <f t="shared" si="0"/>
        <v>3.6</v>
      </c>
      <c r="I13" s="2">
        <f t="shared" si="0"/>
        <v>3.7</v>
      </c>
      <c r="J13" s="2">
        <f t="shared" si="0"/>
        <v>3.6</v>
      </c>
      <c r="K13" s="2">
        <f t="shared" si="0"/>
        <v>3.6</v>
      </c>
      <c r="L13" s="2">
        <f t="shared" si="0"/>
        <v>3.6</v>
      </c>
      <c r="M13" s="2">
        <f t="shared" si="0"/>
        <v>3.6</v>
      </c>
      <c r="N13" s="2">
        <f t="shared" si="0"/>
        <v>3.7</v>
      </c>
      <c r="O13" s="2">
        <f t="shared" si="0"/>
        <v>3.7</v>
      </c>
      <c r="P13" s="2">
        <f t="shared" si="0"/>
        <v>3.7</v>
      </c>
      <c r="Q13" s="2">
        <f t="shared" si="0"/>
        <v>3.7</v>
      </c>
      <c r="R13" s="2">
        <f t="shared" si="0"/>
        <v>3.8</v>
      </c>
      <c r="S13" s="2">
        <f t="shared" si="0"/>
        <v>3.9</v>
      </c>
      <c r="T13" s="2">
        <f t="shared" si="0"/>
        <v>3.8</v>
      </c>
      <c r="U13" s="2">
        <f t="shared" si="0"/>
        <v>4.2</v>
      </c>
      <c r="V13" s="2">
        <f t="shared" si="0"/>
        <v>4</v>
      </c>
      <c r="W13" s="2">
        <f t="shared" si="0"/>
        <v>3.5</v>
      </c>
      <c r="X13" s="2">
        <f t="shared" si="0"/>
        <v>3.3</v>
      </c>
    </row>
    <row r="14" spans="1:24" s="2" customFormat="1" x14ac:dyDescent="0.25">
      <c r="A14" s="2" t="s">
        <v>65</v>
      </c>
      <c r="B14" s="2">
        <f t="shared" si="1"/>
        <v>7.7</v>
      </c>
      <c r="C14" s="2" t="str">
        <f t="shared" si="0"/>
        <v/>
      </c>
      <c r="D14" s="2">
        <f t="shared" si="0"/>
        <v>7.2</v>
      </c>
      <c r="E14" s="2" t="str">
        <f t="shared" si="0"/>
        <v/>
      </c>
      <c r="F14" s="2">
        <f t="shared" si="0"/>
        <v>6.9</v>
      </c>
      <c r="G14" s="2" t="str">
        <f t="shared" si="0"/>
        <v/>
      </c>
      <c r="H14" s="2">
        <f t="shared" si="0"/>
        <v>6.7</v>
      </c>
      <c r="I14" s="2">
        <f t="shared" si="0"/>
        <v>6.4</v>
      </c>
      <c r="J14" s="2">
        <f t="shared" si="0"/>
        <v>6.5</v>
      </c>
      <c r="K14" s="2">
        <f t="shared" si="0"/>
        <v>6.6</v>
      </c>
      <c r="L14" s="2">
        <f t="shared" si="0"/>
        <v>6.8</v>
      </c>
      <c r="M14" s="2">
        <f t="shared" si="0"/>
        <v>6.6</v>
      </c>
      <c r="N14" s="2">
        <f t="shared" si="0"/>
        <v>6.6</v>
      </c>
      <c r="O14" s="2">
        <f t="shared" si="0"/>
        <v>6.8</v>
      </c>
      <c r="P14" s="2">
        <f t="shared" si="0"/>
        <v>7</v>
      </c>
      <c r="Q14" s="2">
        <f t="shared" si="0"/>
        <v>7.2</v>
      </c>
      <c r="R14" s="2">
        <f t="shared" si="0"/>
        <v>7.2</v>
      </c>
      <c r="S14" s="2">
        <f t="shared" si="0"/>
        <v>7.2</v>
      </c>
      <c r="T14" s="2">
        <f t="shared" si="0"/>
        <v>7.2</v>
      </c>
      <c r="U14" s="2">
        <f t="shared" si="0"/>
        <v>7</v>
      </c>
      <c r="V14" s="2">
        <f t="shared" si="0"/>
        <v>7</v>
      </c>
      <c r="W14" s="2">
        <f t="shared" si="0"/>
        <v>6.9</v>
      </c>
      <c r="X14" s="2">
        <f t="shared" si="0"/>
        <v>6.7</v>
      </c>
    </row>
    <row r="15" spans="1:24" s="2" customFormat="1" x14ac:dyDescent="0.25">
      <c r="A15" s="2" t="s">
        <v>66</v>
      </c>
      <c r="B15" s="2">
        <f t="shared" si="1"/>
        <v>5.2</v>
      </c>
      <c r="C15" s="2" t="str">
        <f t="shared" si="0"/>
        <v/>
      </c>
      <c r="D15" s="2">
        <f t="shared" si="0"/>
        <v>3.7</v>
      </c>
      <c r="E15" s="2" t="str">
        <f t="shared" si="0"/>
        <v/>
      </c>
      <c r="F15" s="2">
        <f t="shared" si="0"/>
        <v>2.4</v>
      </c>
      <c r="G15" s="2" t="str">
        <f t="shared" si="0"/>
        <v/>
      </c>
      <c r="H15" s="2">
        <f t="shared" si="0"/>
        <v>1.8</v>
      </c>
      <c r="I15" s="2">
        <f t="shared" si="0"/>
        <v>1.5</v>
      </c>
      <c r="J15" s="2">
        <f t="shared" si="0"/>
        <v>1.2</v>
      </c>
      <c r="K15" s="2">
        <f t="shared" si="0"/>
        <v>1.1000000000000001</v>
      </c>
      <c r="L15" s="2">
        <f t="shared" si="0"/>
        <v>1</v>
      </c>
      <c r="M15" s="2">
        <f t="shared" si="0"/>
        <v>0.9</v>
      </c>
      <c r="N15" s="2">
        <f t="shared" si="0"/>
        <v>0.9</v>
      </c>
      <c r="O15" s="2">
        <f t="shared" si="0"/>
        <v>0.8</v>
      </c>
      <c r="P15" s="2">
        <f t="shared" si="0"/>
        <v>0.7</v>
      </c>
      <c r="Q15" s="2">
        <f t="shared" si="0"/>
        <v>0.7</v>
      </c>
      <c r="R15" s="2">
        <f t="shared" si="0"/>
        <v>0.6</v>
      </c>
      <c r="S15" s="2">
        <f t="shared" si="0"/>
        <v>0.6</v>
      </c>
      <c r="T15" s="2">
        <f t="shared" si="0"/>
        <v>0.6</v>
      </c>
      <c r="U15" s="2">
        <f t="shared" si="0"/>
        <v>0.5</v>
      </c>
      <c r="V15" s="2">
        <f t="shared" si="0"/>
        <v>0.5</v>
      </c>
      <c r="W15" s="2">
        <f t="shared" si="0"/>
        <v>0.5</v>
      </c>
      <c r="X15" s="2">
        <f t="shared" si="0"/>
        <v>0.5</v>
      </c>
    </row>
    <row r="21" spans="1:24" x14ac:dyDescent="0.25">
      <c r="A21" s="25" t="s">
        <v>224</v>
      </c>
      <c r="B21" s="25" t="s">
        <v>111</v>
      </c>
      <c r="C21" s="25" t="s">
        <v>226</v>
      </c>
      <c r="D21" s="25" t="s">
        <v>116</v>
      </c>
      <c r="E21" s="25" t="s">
        <v>227</v>
      </c>
      <c r="F21" s="25" t="s">
        <v>121</v>
      </c>
      <c r="G21" s="25" t="s">
        <v>228</v>
      </c>
      <c r="H21" s="25" t="s">
        <v>126</v>
      </c>
      <c r="I21" s="25" t="s">
        <v>127</v>
      </c>
      <c r="J21" s="25" t="s">
        <v>128</v>
      </c>
      <c r="K21" s="25" t="s">
        <v>129</v>
      </c>
      <c r="L21" s="25" t="s">
        <v>130</v>
      </c>
      <c r="M21" s="25" t="s">
        <v>131</v>
      </c>
      <c r="N21" s="25" t="s">
        <v>132</v>
      </c>
      <c r="O21" s="25" t="s">
        <v>133</v>
      </c>
      <c r="P21" s="25" t="s">
        <v>134</v>
      </c>
      <c r="Q21" s="25" t="s">
        <v>135</v>
      </c>
      <c r="R21" s="25" t="s">
        <v>136</v>
      </c>
      <c r="S21" s="25" t="s">
        <v>137</v>
      </c>
      <c r="T21" s="25" t="s">
        <v>138</v>
      </c>
      <c r="U21" s="25" t="s">
        <v>139</v>
      </c>
      <c r="V21" s="25" t="s">
        <v>140</v>
      </c>
      <c r="W21" s="25" t="s">
        <v>141</v>
      </c>
      <c r="X21" s="25" t="s">
        <v>214</v>
      </c>
    </row>
    <row r="22" spans="1:24" x14ac:dyDescent="0.25">
      <c r="A22" s="25" t="s">
        <v>60</v>
      </c>
      <c r="B22" s="25" t="s">
        <v>229</v>
      </c>
      <c r="C22" s="25" t="s">
        <v>225</v>
      </c>
      <c r="D22" s="25" t="s">
        <v>230</v>
      </c>
      <c r="E22" s="25" t="s">
        <v>225</v>
      </c>
      <c r="F22" s="25" t="s">
        <v>231</v>
      </c>
      <c r="G22" s="25" t="s">
        <v>225</v>
      </c>
      <c r="H22" s="25" t="s">
        <v>232</v>
      </c>
      <c r="I22" s="25" t="s">
        <v>233</v>
      </c>
      <c r="J22" s="25" t="s">
        <v>234</v>
      </c>
      <c r="K22" s="25" t="s">
        <v>235</v>
      </c>
      <c r="L22" s="25" t="s">
        <v>236</v>
      </c>
      <c r="M22" s="25" t="s">
        <v>237</v>
      </c>
      <c r="N22" s="25" t="s">
        <v>238</v>
      </c>
      <c r="O22" s="25" t="s">
        <v>239</v>
      </c>
      <c r="P22" s="25" t="s">
        <v>240</v>
      </c>
      <c r="Q22" s="25" t="s">
        <v>241</v>
      </c>
      <c r="R22" s="25" t="s">
        <v>242</v>
      </c>
      <c r="S22" s="25" t="s">
        <v>243</v>
      </c>
      <c r="T22" s="25" t="s">
        <v>244</v>
      </c>
      <c r="U22" s="25" t="s">
        <v>223</v>
      </c>
      <c r="V22" s="25" t="s">
        <v>245</v>
      </c>
      <c r="W22" s="25" t="s">
        <v>246</v>
      </c>
      <c r="X22" s="25" t="s">
        <v>247</v>
      </c>
    </row>
    <row r="23" spans="1:24" x14ac:dyDescent="0.25">
      <c r="A23" s="25" t="s">
        <v>12</v>
      </c>
      <c r="B23" s="25" t="s">
        <v>248</v>
      </c>
      <c r="C23" s="25" t="s">
        <v>225</v>
      </c>
      <c r="D23" s="25" t="s">
        <v>249</v>
      </c>
      <c r="E23" s="25" t="s">
        <v>225</v>
      </c>
      <c r="F23" s="25" t="s">
        <v>250</v>
      </c>
      <c r="G23" s="25" t="s">
        <v>225</v>
      </c>
      <c r="H23" s="25" t="s">
        <v>251</v>
      </c>
      <c r="I23" s="25" t="s">
        <v>252</v>
      </c>
      <c r="J23" s="25" t="s">
        <v>253</v>
      </c>
      <c r="K23" s="25" t="s">
        <v>254</v>
      </c>
      <c r="L23" s="25" t="s">
        <v>255</v>
      </c>
      <c r="M23" s="25" t="s">
        <v>256</v>
      </c>
      <c r="N23" s="25" t="s">
        <v>257</v>
      </c>
      <c r="O23" s="25" t="s">
        <v>258</v>
      </c>
      <c r="P23" s="25" t="s">
        <v>259</v>
      </c>
      <c r="Q23" s="25" t="s">
        <v>260</v>
      </c>
      <c r="R23" s="25" t="s">
        <v>261</v>
      </c>
      <c r="S23" s="25" t="s">
        <v>262</v>
      </c>
      <c r="T23" s="25" t="s">
        <v>261</v>
      </c>
      <c r="U23" s="25" t="s">
        <v>260</v>
      </c>
      <c r="V23" s="25" t="s">
        <v>263</v>
      </c>
      <c r="W23" s="25" t="s">
        <v>264</v>
      </c>
      <c r="X23" s="25" t="s">
        <v>265</v>
      </c>
    </row>
    <row r="24" spans="1:24" x14ac:dyDescent="0.25">
      <c r="A24" s="25" t="s">
        <v>61</v>
      </c>
      <c r="B24" s="25" t="s">
        <v>266</v>
      </c>
      <c r="C24" s="25" t="s">
        <v>225</v>
      </c>
      <c r="D24" s="25" t="s">
        <v>267</v>
      </c>
      <c r="E24" s="25" t="s">
        <v>225</v>
      </c>
      <c r="F24" s="25" t="s">
        <v>268</v>
      </c>
      <c r="G24" s="25" t="s">
        <v>225</v>
      </c>
      <c r="H24" s="25" t="s">
        <v>269</v>
      </c>
      <c r="I24" s="25" t="s">
        <v>270</v>
      </c>
      <c r="J24" s="25" t="s">
        <v>271</v>
      </c>
      <c r="K24" s="25" t="s">
        <v>272</v>
      </c>
      <c r="L24" s="25" t="s">
        <v>273</v>
      </c>
      <c r="M24" s="25" t="s">
        <v>274</v>
      </c>
      <c r="N24" s="25" t="s">
        <v>275</v>
      </c>
      <c r="O24" s="25" t="s">
        <v>276</v>
      </c>
      <c r="P24" s="25" t="s">
        <v>277</v>
      </c>
      <c r="Q24" s="25" t="s">
        <v>278</v>
      </c>
      <c r="R24" s="25" t="s">
        <v>279</v>
      </c>
      <c r="S24" s="25" t="s">
        <v>280</v>
      </c>
      <c r="T24" s="25" t="s">
        <v>281</v>
      </c>
      <c r="U24" s="25" t="s">
        <v>282</v>
      </c>
      <c r="V24" s="25" t="s">
        <v>283</v>
      </c>
      <c r="W24" s="25" t="s">
        <v>284</v>
      </c>
      <c r="X24" s="25" t="s">
        <v>285</v>
      </c>
    </row>
    <row r="25" spans="1:24" x14ac:dyDescent="0.25">
      <c r="A25" s="25" t="s">
        <v>62</v>
      </c>
      <c r="B25" s="25" t="s">
        <v>286</v>
      </c>
      <c r="C25" s="25" t="s">
        <v>225</v>
      </c>
      <c r="D25" s="25" t="s">
        <v>287</v>
      </c>
      <c r="E25" s="25" t="s">
        <v>225</v>
      </c>
      <c r="F25" s="25" t="s">
        <v>288</v>
      </c>
      <c r="G25" s="25" t="s">
        <v>225</v>
      </c>
      <c r="H25" s="25" t="s">
        <v>289</v>
      </c>
      <c r="I25" s="25" t="s">
        <v>290</v>
      </c>
      <c r="J25" s="25" t="s">
        <v>291</v>
      </c>
      <c r="K25" s="25" t="s">
        <v>292</v>
      </c>
      <c r="L25" s="25" t="s">
        <v>293</v>
      </c>
      <c r="M25" s="25" t="s">
        <v>280</v>
      </c>
      <c r="N25" s="25" t="s">
        <v>294</v>
      </c>
      <c r="O25" s="25" t="s">
        <v>294</v>
      </c>
      <c r="P25" s="25" t="s">
        <v>295</v>
      </c>
      <c r="Q25" s="25" t="s">
        <v>296</v>
      </c>
      <c r="R25" s="25" t="s">
        <v>297</v>
      </c>
      <c r="S25" s="25" t="s">
        <v>298</v>
      </c>
      <c r="T25" s="25" t="s">
        <v>277</v>
      </c>
      <c r="U25" s="25" t="s">
        <v>299</v>
      </c>
      <c r="V25" s="25" t="s">
        <v>300</v>
      </c>
      <c r="W25" s="25" t="s">
        <v>301</v>
      </c>
      <c r="X25" s="25" t="s">
        <v>302</v>
      </c>
    </row>
    <row r="26" spans="1:24" x14ac:dyDescent="0.25">
      <c r="A26" s="25" t="s">
        <v>63</v>
      </c>
      <c r="B26" s="25" t="s">
        <v>303</v>
      </c>
      <c r="C26" s="25" t="s">
        <v>225</v>
      </c>
      <c r="D26" s="25" t="s">
        <v>304</v>
      </c>
      <c r="E26" s="25" t="s">
        <v>225</v>
      </c>
      <c r="F26" s="25" t="s">
        <v>305</v>
      </c>
      <c r="G26" s="25" t="s">
        <v>225</v>
      </c>
      <c r="H26" s="25" t="s">
        <v>306</v>
      </c>
      <c r="I26" s="25" t="s">
        <v>307</v>
      </c>
      <c r="J26" s="25" t="s">
        <v>308</v>
      </c>
      <c r="K26" s="25" t="s">
        <v>309</v>
      </c>
      <c r="L26" s="25" t="s">
        <v>310</v>
      </c>
      <c r="M26" s="25" t="s">
        <v>311</v>
      </c>
      <c r="N26" s="25" t="s">
        <v>312</v>
      </c>
      <c r="O26" s="25" t="s">
        <v>313</v>
      </c>
      <c r="P26" s="25" t="s">
        <v>314</v>
      </c>
      <c r="Q26" s="25" t="s">
        <v>312</v>
      </c>
      <c r="R26" s="25" t="s">
        <v>310</v>
      </c>
      <c r="S26" s="25" t="s">
        <v>315</v>
      </c>
      <c r="T26" s="25" t="s">
        <v>316</v>
      </c>
      <c r="U26" s="25" t="s">
        <v>317</v>
      </c>
      <c r="V26" s="25" t="s">
        <v>318</v>
      </c>
      <c r="W26" s="25" t="s">
        <v>319</v>
      </c>
      <c r="X26" s="25" t="s">
        <v>319</v>
      </c>
    </row>
    <row r="27" spans="1:24" x14ac:dyDescent="0.25">
      <c r="A27" s="25" t="s">
        <v>64</v>
      </c>
      <c r="B27" s="25" t="s">
        <v>318</v>
      </c>
      <c r="C27" s="25" t="s">
        <v>225</v>
      </c>
      <c r="D27" s="25" t="s">
        <v>311</v>
      </c>
      <c r="E27" s="25" t="s">
        <v>225</v>
      </c>
      <c r="F27" s="25" t="s">
        <v>320</v>
      </c>
      <c r="G27" s="25" t="s">
        <v>225</v>
      </c>
      <c r="H27" s="25" t="s">
        <v>320</v>
      </c>
      <c r="I27" s="25" t="s">
        <v>321</v>
      </c>
      <c r="J27" s="25" t="s">
        <v>320</v>
      </c>
      <c r="K27" s="25" t="s">
        <v>320</v>
      </c>
      <c r="L27" s="25" t="s">
        <v>320</v>
      </c>
      <c r="M27" s="25" t="s">
        <v>320</v>
      </c>
      <c r="N27" s="25" t="s">
        <v>321</v>
      </c>
      <c r="O27" s="25" t="s">
        <v>321</v>
      </c>
      <c r="P27" s="25" t="s">
        <v>321</v>
      </c>
      <c r="Q27" s="25" t="s">
        <v>321</v>
      </c>
      <c r="R27" s="25" t="s">
        <v>315</v>
      </c>
      <c r="S27" s="25" t="s">
        <v>322</v>
      </c>
      <c r="T27" s="25" t="s">
        <v>315</v>
      </c>
      <c r="U27" s="25" t="s">
        <v>323</v>
      </c>
      <c r="V27" s="25" t="s">
        <v>316</v>
      </c>
      <c r="W27" s="25" t="s">
        <v>318</v>
      </c>
      <c r="X27" s="25" t="s">
        <v>317</v>
      </c>
    </row>
    <row r="28" spans="1:24" x14ac:dyDescent="0.25">
      <c r="A28" s="25" t="s">
        <v>65</v>
      </c>
      <c r="B28" s="25" t="s">
        <v>324</v>
      </c>
      <c r="C28" s="25" t="s">
        <v>225</v>
      </c>
      <c r="D28" s="25" t="s">
        <v>325</v>
      </c>
      <c r="E28" s="25" t="s">
        <v>225</v>
      </c>
      <c r="F28" s="25" t="s">
        <v>326</v>
      </c>
      <c r="G28" s="25" t="s">
        <v>225</v>
      </c>
      <c r="H28" s="25" t="s">
        <v>327</v>
      </c>
      <c r="I28" s="25" t="s">
        <v>307</v>
      </c>
      <c r="J28" s="25" t="s">
        <v>328</v>
      </c>
      <c r="K28" s="25" t="s">
        <v>329</v>
      </c>
      <c r="L28" s="25" t="s">
        <v>330</v>
      </c>
      <c r="M28" s="25" t="s">
        <v>329</v>
      </c>
      <c r="N28" s="25" t="s">
        <v>329</v>
      </c>
      <c r="O28" s="25" t="s">
        <v>330</v>
      </c>
      <c r="P28" s="25" t="s">
        <v>331</v>
      </c>
      <c r="Q28" s="25" t="s">
        <v>325</v>
      </c>
      <c r="R28" s="25" t="s">
        <v>325</v>
      </c>
      <c r="S28" s="25" t="s">
        <v>325</v>
      </c>
      <c r="T28" s="25" t="s">
        <v>325</v>
      </c>
      <c r="U28" s="25" t="s">
        <v>331</v>
      </c>
      <c r="V28" s="25" t="s">
        <v>331</v>
      </c>
      <c r="W28" s="25" t="s">
        <v>326</v>
      </c>
      <c r="X28" s="25" t="s">
        <v>327</v>
      </c>
    </row>
    <row r="29" spans="1:24" x14ac:dyDescent="0.25">
      <c r="A29" s="25" t="s">
        <v>66</v>
      </c>
      <c r="B29" s="25" t="s">
        <v>332</v>
      </c>
      <c r="C29" s="25" t="s">
        <v>225</v>
      </c>
      <c r="D29" s="25" t="s">
        <v>321</v>
      </c>
      <c r="E29" s="25" t="s">
        <v>225</v>
      </c>
      <c r="F29" s="25" t="s">
        <v>333</v>
      </c>
      <c r="G29" s="25" t="s">
        <v>225</v>
      </c>
      <c r="H29" s="25" t="s">
        <v>334</v>
      </c>
      <c r="I29" s="25" t="s">
        <v>335</v>
      </c>
      <c r="J29" s="25" t="s">
        <v>336</v>
      </c>
      <c r="K29" s="25" t="s">
        <v>337</v>
      </c>
      <c r="L29" s="25" t="s">
        <v>338</v>
      </c>
      <c r="M29" s="25" t="s">
        <v>339</v>
      </c>
      <c r="N29" s="25" t="s">
        <v>339</v>
      </c>
      <c r="O29" s="25" t="s">
        <v>340</v>
      </c>
      <c r="P29" s="25" t="s">
        <v>341</v>
      </c>
      <c r="Q29" s="25" t="s">
        <v>341</v>
      </c>
      <c r="R29" s="25" t="s">
        <v>342</v>
      </c>
      <c r="S29" s="25" t="s">
        <v>342</v>
      </c>
      <c r="T29" s="25" t="s">
        <v>342</v>
      </c>
      <c r="U29" s="25" t="s">
        <v>343</v>
      </c>
      <c r="V29" s="25" t="s">
        <v>343</v>
      </c>
      <c r="W29" s="25" t="s">
        <v>343</v>
      </c>
      <c r="X29" s="25" t="s">
        <v>343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25"/>
  <sheetViews>
    <sheetView workbookViewId="0">
      <selection activeCell="A21" sqref="A21:H25"/>
    </sheetView>
  </sheetViews>
  <sheetFormatPr baseColWidth="10" defaultRowHeight="15" x14ac:dyDescent="0.25"/>
  <cols>
    <col min="1" max="1" width="21.85546875" customWidth="1"/>
    <col min="2" max="8" width="7.28515625" customWidth="1"/>
    <col min="9" max="20" width="6" customWidth="1"/>
  </cols>
  <sheetData>
    <row r="1" spans="1:8" ht="21" x14ac:dyDescent="0.35">
      <c r="A1" s="10" t="s">
        <v>212</v>
      </c>
      <c r="B1" s="11" t="s">
        <v>44</v>
      </c>
    </row>
    <row r="2" spans="1:8" x14ac:dyDescent="0.25">
      <c r="A2" t="s">
        <v>172</v>
      </c>
      <c r="B2" t="s">
        <v>2</v>
      </c>
    </row>
    <row r="3" spans="1:8" x14ac:dyDescent="0.25">
      <c r="A3" t="s">
        <v>173</v>
      </c>
      <c r="B3">
        <v>1</v>
      </c>
    </row>
    <row r="4" spans="1:8" x14ac:dyDescent="0.25">
      <c r="A4" t="s">
        <v>41</v>
      </c>
    </row>
    <row r="5" spans="1:8" ht="15.75" x14ac:dyDescent="0.25">
      <c r="A5" s="26">
        <v>44761</v>
      </c>
    </row>
    <row r="7" spans="1:8" x14ac:dyDescent="0.25">
      <c r="B7">
        <v>1996</v>
      </c>
      <c r="C7">
        <v>2000</v>
      </c>
      <c r="D7">
        <v>2004</v>
      </c>
      <c r="E7">
        <v>2008</v>
      </c>
      <c r="F7">
        <v>2012</v>
      </c>
      <c r="G7">
        <v>2016</v>
      </c>
      <c r="H7">
        <v>2020</v>
      </c>
    </row>
    <row r="8" spans="1:8" s="2" customFormat="1" x14ac:dyDescent="0.25">
      <c r="A8" s="2" t="s">
        <v>12</v>
      </c>
      <c r="B8" s="2">
        <f>IFERROR(B22/1,"")</f>
        <v>222</v>
      </c>
      <c r="C8" s="2">
        <f t="shared" ref="C8:H8" si="0">IFERROR(C22/1,"")</f>
        <v>202</v>
      </c>
      <c r="D8" s="2">
        <f t="shared" si="0"/>
        <v>189.6</v>
      </c>
      <c r="E8" s="2">
        <f t="shared" si="0"/>
        <v>173.96</v>
      </c>
      <c r="F8" s="2">
        <f t="shared" si="0"/>
        <v>162.69999999999999</v>
      </c>
      <c r="G8" s="2">
        <f t="shared" si="0"/>
        <v>150.69999999999999</v>
      </c>
      <c r="H8" s="2">
        <f t="shared" si="0"/>
        <v>103.05</v>
      </c>
    </row>
    <row r="9" spans="1:8" x14ac:dyDescent="0.25">
      <c r="A9" t="s">
        <v>378</v>
      </c>
      <c r="B9" s="2">
        <f t="shared" ref="B9:H11" si="1">IFERROR(B23/1,"")</f>
        <v>35</v>
      </c>
      <c r="C9" s="2">
        <f t="shared" si="1"/>
        <v>29</v>
      </c>
      <c r="D9" s="2">
        <f t="shared" si="1"/>
        <v>21.8</v>
      </c>
      <c r="E9" s="2">
        <f t="shared" si="1"/>
        <v>19.25</v>
      </c>
      <c r="F9" s="2">
        <f t="shared" si="1"/>
        <v>15.11</v>
      </c>
      <c r="G9" s="2">
        <f t="shared" si="1"/>
        <v>14.91</v>
      </c>
      <c r="H9" s="2">
        <f t="shared" si="1"/>
        <v>14.68</v>
      </c>
    </row>
    <row r="10" spans="1:8" x14ac:dyDescent="0.25">
      <c r="A10" t="s">
        <v>61</v>
      </c>
      <c r="B10" s="2">
        <f t="shared" si="1"/>
        <v>220.54</v>
      </c>
      <c r="C10" s="2">
        <f t="shared" si="1"/>
        <v>225.44</v>
      </c>
      <c r="D10" s="2">
        <f t="shared" si="1"/>
        <v>172.27</v>
      </c>
      <c r="E10" s="2">
        <f t="shared" si="1"/>
        <v>136.07</v>
      </c>
      <c r="F10" s="2">
        <f t="shared" si="1"/>
        <v>105.56</v>
      </c>
      <c r="G10" s="2">
        <f t="shared" si="1"/>
        <v>102.06</v>
      </c>
      <c r="H10" s="2">
        <f t="shared" si="1"/>
        <v>79.400000000000006</v>
      </c>
    </row>
    <row r="11" spans="1:8" x14ac:dyDescent="0.25">
      <c r="A11" t="s">
        <v>65</v>
      </c>
      <c r="B11" s="2">
        <f t="shared" si="1"/>
        <v>13</v>
      </c>
      <c r="C11" s="2">
        <f t="shared" si="1"/>
        <v>13.17</v>
      </c>
      <c r="D11" s="2">
        <f t="shared" si="1"/>
        <v>12.51</v>
      </c>
      <c r="E11" s="2">
        <f t="shared" si="1"/>
        <v>12.3</v>
      </c>
      <c r="F11" s="2">
        <f t="shared" si="1"/>
        <v>13.02</v>
      </c>
      <c r="G11" s="2">
        <f t="shared" si="1"/>
        <v>13.54</v>
      </c>
      <c r="H11" s="2">
        <f t="shared" si="1"/>
        <v>11.86</v>
      </c>
    </row>
    <row r="21" spans="1:8" x14ac:dyDescent="0.25">
      <c r="A21" s="25" t="s">
        <v>224</v>
      </c>
      <c r="B21" s="25" t="s">
        <v>117</v>
      </c>
      <c r="C21" s="25" t="s">
        <v>121</v>
      </c>
      <c r="D21" s="25" t="s">
        <v>125</v>
      </c>
      <c r="E21" s="25" t="s">
        <v>129</v>
      </c>
      <c r="F21" s="25" t="s">
        <v>133</v>
      </c>
      <c r="G21" s="25" t="s">
        <v>137</v>
      </c>
      <c r="H21" s="25" t="s">
        <v>141</v>
      </c>
    </row>
    <row r="22" spans="1:8" x14ac:dyDescent="0.25">
      <c r="A22" s="25" t="s">
        <v>12</v>
      </c>
      <c r="B22" s="25" t="s">
        <v>371</v>
      </c>
      <c r="C22" s="25" t="s">
        <v>372</v>
      </c>
      <c r="D22" s="25" t="s">
        <v>373</v>
      </c>
      <c r="E22" s="25" t="s">
        <v>374</v>
      </c>
      <c r="F22" s="25" t="s">
        <v>375</v>
      </c>
      <c r="G22" s="25" t="s">
        <v>376</v>
      </c>
      <c r="H22" s="25" t="s">
        <v>377</v>
      </c>
    </row>
    <row r="23" spans="1:8" x14ac:dyDescent="0.25">
      <c r="A23" s="25" t="s">
        <v>378</v>
      </c>
      <c r="B23" s="25" t="s">
        <v>272</v>
      </c>
      <c r="C23" s="25" t="s">
        <v>296</v>
      </c>
      <c r="D23" s="25" t="s">
        <v>379</v>
      </c>
      <c r="E23" s="25" t="s">
        <v>380</v>
      </c>
      <c r="F23" s="25" t="s">
        <v>381</v>
      </c>
      <c r="G23" s="25" t="s">
        <v>382</v>
      </c>
      <c r="H23" s="25" t="s">
        <v>383</v>
      </c>
    </row>
    <row r="24" spans="1:8" x14ac:dyDescent="0.25">
      <c r="A24" s="25" t="s">
        <v>61</v>
      </c>
      <c r="B24" s="25" t="s">
        <v>384</v>
      </c>
      <c r="C24" s="25" t="s">
        <v>385</v>
      </c>
      <c r="D24" s="25" t="s">
        <v>386</v>
      </c>
      <c r="E24" s="25" t="s">
        <v>387</v>
      </c>
      <c r="F24" s="25" t="s">
        <v>388</v>
      </c>
      <c r="G24" s="25" t="s">
        <v>389</v>
      </c>
      <c r="H24" s="25" t="s">
        <v>390</v>
      </c>
    </row>
    <row r="25" spans="1:8" x14ac:dyDescent="0.25">
      <c r="A25" s="25" t="s">
        <v>65</v>
      </c>
      <c r="B25" s="25" t="s">
        <v>391</v>
      </c>
      <c r="C25" s="25" t="s">
        <v>392</v>
      </c>
      <c r="D25" s="25" t="s">
        <v>393</v>
      </c>
      <c r="E25" s="25" t="s">
        <v>394</v>
      </c>
      <c r="F25" s="25" t="s">
        <v>395</v>
      </c>
      <c r="G25" s="25" t="s">
        <v>396</v>
      </c>
      <c r="H25" s="25" t="s">
        <v>397</v>
      </c>
    </row>
  </sheetData>
  <hyperlinks>
    <hyperlink ref="A1" location="Inhalt!A1" display="zurück Zur Übersicht"/>
  </hyperlink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H22"/>
  <sheetViews>
    <sheetView topLeftCell="F1" workbookViewId="0">
      <selection activeCell="AH10" sqref="AH10"/>
    </sheetView>
  </sheetViews>
  <sheetFormatPr baseColWidth="10" defaultColWidth="11.5703125" defaultRowHeight="15" x14ac:dyDescent="0.25"/>
  <cols>
    <col min="1" max="1" width="27.7109375" customWidth="1"/>
    <col min="2" max="2" width="7.28515625" customWidth="1"/>
    <col min="3" max="33" width="7.28515625" bestFit="1" customWidth="1"/>
    <col min="34" max="34" width="7.28515625" customWidth="1"/>
    <col min="35" max="54" width="5" bestFit="1" customWidth="1"/>
  </cols>
  <sheetData>
    <row r="1" spans="1:34" ht="21" x14ac:dyDescent="0.35">
      <c r="A1" s="10" t="s">
        <v>212</v>
      </c>
      <c r="B1" s="11" t="s">
        <v>45</v>
      </c>
    </row>
    <row r="2" spans="1:34" x14ac:dyDescent="0.25">
      <c r="A2" t="s">
        <v>172</v>
      </c>
      <c r="B2" t="s">
        <v>4</v>
      </c>
    </row>
    <row r="3" spans="1:34" x14ac:dyDescent="0.25">
      <c r="A3" t="s">
        <v>173</v>
      </c>
      <c r="B3">
        <v>0</v>
      </c>
    </row>
    <row r="4" spans="1:34" x14ac:dyDescent="0.25">
      <c r="A4" t="s">
        <v>41</v>
      </c>
    </row>
    <row r="5" spans="1:34" ht="15.75" x14ac:dyDescent="0.25">
      <c r="A5" s="26">
        <v>44860</v>
      </c>
    </row>
    <row r="7" spans="1:34" x14ac:dyDescent="0.25">
      <c r="B7">
        <v>1990</v>
      </c>
      <c r="C7">
        <v>1991</v>
      </c>
      <c r="D7">
        <v>1992</v>
      </c>
      <c r="E7">
        <v>1993</v>
      </c>
      <c r="F7">
        <v>1994</v>
      </c>
      <c r="G7">
        <v>1995</v>
      </c>
      <c r="H7">
        <v>1996</v>
      </c>
      <c r="I7">
        <v>1997</v>
      </c>
      <c r="J7">
        <v>1998</v>
      </c>
      <c r="K7">
        <v>1999</v>
      </c>
      <c r="L7">
        <v>2000</v>
      </c>
      <c r="M7">
        <v>2001</v>
      </c>
      <c r="N7">
        <v>2002</v>
      </c>
      <c r="O7">
        <v>2003</v>
      </c>
      <c r="P7">
        <v>2004</v>
      </c>
      <c r="Q7">
        <v>2005</v>
      </c>
      <c r="R7">
        <v>2006</v>
      </c>
      <c r="S7">
        <v>2007</v>
      </c>
      <c r="T7">
        <v>2008</v>
      </c>
      <c r="U7">
        <v>2009</v>
      </c>
      <c r="V7">
        <v>2010</v>
      </c>
      <c r="W7">
        <v>2011</v>
      </c>
      <c r="X7">
        <v>2012</v>
      </c>
      <c r="Y7">
        <v>2013</v>
      </c>
      <c r="Z7">
        <v>2014</v>
      </c>
      <c r="AA7">
        <v>2015</v>
      </c>
      <c r="AB7">
        <v>2016</v>
      </c>
      <c r="AC7">
        <v>2017</v>
      </c>
      <c r="AD7">
        <v>2018</v>
      </c>
      <c r="AE7">
        <v>2019</v>
      </c>
      <c r="AF7">
        <v>2020</v>
      </c>
      <c r="AG7">
        <v>2021</v>
      </c>
      <c r="AH7">
        <v>2022</v>
      </c>
    </row>
    <row r="8" spans="1:34" s="4" customFormat="1" x14ac:dyDescent="0.25">
      <c r="A8" s="4" t="s">
        <v>0</v>
      </c>
      <c r="B8" s="4">
        <f>IFERROR(uug_02_no2_hintergrund[1990]/1,"")</f>
        <v>38</v>
      </c>
      <c r="C8" s="4">
        <f>IFERROR(uug_02_no2_hintergrund[1991]/1,"")</f>
        <v>40</v>
      </c>
      <c r="D8" s="4">
        <f>IFERROR(uug_02_no2_hintergrund[1992]/1,"")</f>
        <v>39</v>
      </c>
      <c r="E8" s="4">
        <f>IFERROR(uug_02_no2_hintergrund[1993]/1,"")</f>
        <v>36</v>
      </c>
      <c r="F8" s="4">
        <f>IFERROR(uug_02_no2_hintergrund[1994]/1,"")</f>
        <v>35</v>
      </c>
      <c r="G8" s="4">
        <f>IFERROR(uug_02_no2_hintergrund[1995]/1,"")</f>
        <v>34</v>
      </c>
      <c r="H8" s="4">
        <f>IFERROR(uug_02_no2_hintergrund[1996]/1,"")</f>
        <v>35</v>
      </c>
      <c r="I8" s="4">
        <f>IFERROR(uug_02_no2_hintergrund[1997]/1,"")</f>
        <v>35</v>
      </c>
      <c r="J8" s="4">
        <f>IFERROR(uug_02_no2_hintergrund[1998]/1,"")</f>
        <v>33</v>
      </c>
      <c r="K8" s="4">
        <f>IFERROR(uug_02_no2_hintergrund[1999]/1,"")</f>
        <v>32</v>
      </c>
      <c r="L8" s="4">
        <f>IFERROR(uug_02_no2_hintergrund[2000]/1,"")</f>
        <v>30</v>
      </c>
      <c r="M8" s="4">
        <f>IFERROR(uug_02_no2_hintergrund[2001]/1,"")</f>
        <v>31</v>
      </c>
      <c r="N8" s="4">
        <f>IFERROR(uug_02_no2_hintergrund[2002]/1,"")</f>
        <v>30</v>
      </c>
      <c r="O8" s="4">
        <f>IFERROR(uug_02_no2_hintergrund[2003]/1,"")</f>
        <v>34</v>
      </c>
      <c r="P8" s="4">
        <f>IFERROR(uug_02_no2_hintergrund[2004]/1,"")</f>
        <v>31</v>
      </c>
      <c r="Q8" s="4">
        <f>IFERROR(uug_02_no2_hintergrund[2005]/1,"")</f>
        <v>31</v>
      </c>
      <c r="R8" s="4">
        <f>IFERROR(uug_02_no2_hintergrund[2006]/1,"")</f>
        <v>29</v>
      </c>
      <c r="S8" s="4">
        <f>IFERROR(uug_02_no2_hintergrund[2007]/1,"")</f>
        <v>27</v>
      </c>
      <c r="T8" s="4">
        <f>IFERROR(uug_02_no2_hintergrund[2008]/1,"")</f>
        <v>28</v>
      </c>
      <c r="U8" s="4">
        <f>IFERROR(uug_02_no2_hintergrund[2009]/1,"")</f>
        <v>29</v>
      </c>
      <c r="V8" s="4">
        <f>IFERROR(uug_02_no2_hintergrund[2010]/1,"")</f>
        <v>28</v>
      </c>
      <c r="W8" s="4">
        <f>IFERROR(uug_02_no2_hintergrund[2011]/1,"")</f>
        <v>26</v>
      </c>
      <c r="X8" s="4">
        <f>IFERROR(uug_02_no2_hintergrund[2012]/1,"")</f>
        <v>25</v>
      </c>
      <c r="Y8" s="4">
        <f>IFERROR(uug_02_no2_hintergrund[2013]/1,"")</f>
        <v>25</v>
      </c>
      <c r="Z8" s="4">
        <f>IFERROR(uug_02_no2_hintergrund[2014]/1,"")</f>
        <v>24</v>
      </c>
      <c r="AA8" s="4">
        <f>IFERROR(uug_02_no2_hintergrund[2015]/1,"")</f>
        <v>23</v>
      </c>
      <c r="AB8" s="4">
        <f>IFERROR(uug_02_no2_hintergrund[2016]/1,"")</f>
        <v>24</v>
      </c>
      <c r="AC8" s="4">
        <f>IFERROR(uug_02_no2_hintergrund[2017]/1,"")</f>
        <v>23</v>
      </c>
      <c r="AD8" s="4">
        <f>IFERROR(uug_02_no2_hintergrund[2018]/1,"")</f>
        <v>22</v>
      </c>
      <c r="AE8" s="4">
        <f>IFERROR(uug_02_no2_hintergrund[2019]/1,"")</f>
        <v>20</v>
      </c>
      <c r="AF8" s="4">
        <f>IFERROR(uug_02_no2_hintergrund[2020]/1,"")</f>
        <v>17</v>
      </c>
      <c r="AG8" s="4">
        <f>IFERROR(uug_02_no2_hintergrund[2021]/1,"")</f>
        <v>18</v>
      </c>
      <c r="AH8" s="4">
        <f>IFERROR(uug_02_no2_hintergrund[2022]/1,"")</f>
        <v>17</v>
      </c>
    </row>
    <row r="21" spans="1:34" x14ac:dyDescent="0.25">
      <c r="A21" s="25" t="s">
        <v>224</v>
      </c>
      <c r="B21" s="25" t="s">
        <v>111</v>
      </c>
      <c r="C21" s="25" t="s">
        <v>112</v>
      </c>
      <c r="D21" s="25" t="s">
        <v>113</v>
      </c>
      <c r="E21" s="25" t="s">
        <v>114</v>
      </c>
      <c r="F21" s="25" t="s">
        <v>115</v>
      </c>
      <c r="G21" s="25" t="s">
        <v>116</v>
      </c>
      <c r="H21" s="25" t="s">
        <v>117</v>
      </c>
      <c r="I21" s="25" t="s">
        <v>118</v>
      </c>
      <c r="J21" s="25" t="s">
        <v>119</v>
      </c>
      <c r="K21" s="25" t="s">
        <v>120</v>
      </c>
      <c r="L21" s="25" t="s">
        <v>121</v>
      </c>
      <c r="M21" s="25" t="s">
        <v>122</v>
      </c>
      <c r="N21" s="25" t="s">
        <v>123</v>
      </c>
      <c r="O21" s="25" t="s">
        <v>124</v>
      </c>
      <c r="P21" s="25" t="s">
        <v>125</v>
      </c>
      <c r="Q21" s="25" t="s">
        <v>126</v>
      </c>
      <c r="R21" s="25" t="s">
        <v>127</v>
      </c>
      <c r="S21" s="25" t="s">
        <v>128</v>
      </c>
      <c r="T21" s="25" t="s">
        <v>129</v>
      </c>
      <c r="U21" s="25" t="s">
        <v>130</v>
      </c>
      <c r="V21" s="25" t="s">
        <v>131</v>
      </c>
      <c r="W21" s="25" t="s">
        <v>132</v>
      </c>
      <c r="X21" s="25" t="s">
        <v>133</v>
      </c>
      <c r="Y21" s="25" t="s">
        <v>134</v>
      </c>
      <c r="Z21" s="25" t="s">
        <v>135</v>
      </c>
      <c r="AA21" s="25" t="s">
        <v>136</v>
      </c>
      <c r="AB21" s="25" t="s">
        <v>137</v>
      </c>
      <c r="AC21" s="25" t="s">
        <v>138</v>
      </c>
      <c r="AD21" s="25" t="s">
        <v>139</v>
      </c>
      <c r="AE21" s="25" t="s">
        <v>140</v>
      </c>
      <c r="AF21" s="25" t="s">
        <v>141</v>
      </c>
      <c r="AG21" s="25" t="s">
        <v>214</v>
      </c>
      <c r="AH21" s="25" t="s">
        <v>875</v>
      </c>
    </row>
    <row r="22" spans="1:34" x14ac:dyDescent="0.25">
      <c r="A22" s="25" t="s">
        <v>0</v>
      </c>
      <c r="B22" s="25" t="s">
        <v>398</v>
      </c>
      <c r="C22" s="25" t="s">
        <v>399</v>
      </c>
      <c r="D22" s="25" t="s">
        <v>400</v>
      </c>
      <c r="E22" s="25" t="s">
        <v>352</v>
      </c>
      <c r="F22" s="25" t="s">
        <v>362</v>
      </c>
      <c r="G22" s="25" t="s">
        <v>401</v>
      </c>
      <c r="H22" s="25" t="s">
        <v>362</v>
      </c>
      <c r="I22" s="25" t="s">
        <v>362</v>
      </c>
      <c r="J22" s="25" t="s">
        <v>351</v>
      </c>
      <c r="K22" s="25" t="s">
        <v>402</v>
      </c>
      <c r="L22" s="25" t="s">
        <v>403</v>
      </c>
      <c r="M22" s="25" t="s">
        <v>404</v>
      </c>
      <c r="N22" s="25" t="s">
        <v>403</v>
      </c>
      <c r="O22" s="25" t="s">
        <v>401</v>
      </c>
      <c r="P22" s="25" t="s">
        <v>404</v>
      </c>
      <c r="Q22" s="25" t="s">
        <v>404</v>
      </c>
      <c r="R22" s="25" t="s">
        <v>405</v>
      </c>
      <c r="S22" s="25" t="s">
        <v>406</v>
      </c>
      <c r="T22" s="25" t="s">
        <v>407</v>
      </c>
      <c r="U22" s="25" t="s">
        <v>405</v>
      </c>
      <c r="V22" s="25" t="s">
        <v>407</v>
      </c>
      <c r="W22" s="25" t="s">
        <v>408</v>
      </c>
      <c r="X22" s="25" t="s">
        <v>409</v>
      </c>
      <c r="Y22" s="25" t="s">
        <v>409</v>
      </c>
      <c r="Z22" s="25" t="s">
        <v>410</v>
      </c>
      <c r="AA22" s="25" t="s">
        <v>411</v>
      </c>
      <c r="AB22" s="25" t="s">
        <v>410</v>
      </c>
      <c r="AC22" s="25" t="s">
        <v>411</v>
      </c>
      <c r="AD22" s="25" t="s">
        <v>412</v>
      </c>
      <c r="AE22" s="25" t="s">
        <v>361</v>
      </c>
      <c r="AF22" s="25" t="s">
        <v>413</v>
      </c>
      <c r="AG22" s="25" t="s">
        <v>414</v>
      </c>
      <c r="AH22" s="25" t="s">
        <v>413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I28"/>
  <sheetViews>
    <sheetView workbookViewId="0">
      <selection activeCell="A21" sqref="A21:I28"/>
    </sheetView>
  </sheetViews>
  <sheetFormatPr baseColWidth="10" defaultRowHeight="15" x14ac:dyDescent="0.25"/>
  <cols>
    <col min="1" max="1" width="11.140625" customWidth="1"/>
    <col min="2" max="2" width="18.140625" customWidth="1"/>
    <col min="3" max="3" width="31.5703125" customWidth="1"/>
    <col min="4" max="4" width="17.7109375" customWidth="1"/>
    <col min="5" max="5" width="23.85546875" customWidth="1"/>
    <col min="6" max="6" width="18" customWidth="1"/>
    <col min="7" max="7" width="31" customWidth="1"/>
    <col min="8" max="8" width="17.140625" customWidth="1"/>
    <col min="9" max="9" width="23.140625" customWidth="1"/>
    <col min="10" max="20" width="6" customWidth="1"/>
  </cols>
  <sheetData>
    <row r="1" spans="1:9" ht="21" x14ac:dyDescent="0.35">
      <c r="A1" s="10" t="s">
        <v>212</v>
      </c>
      <c r="B1" s="11" t="s">
        <v>199</v>
      </c>
    </row>
    <row r="2" spans="1:9" x14ac:dyDescent="0.25">
      <c r="A2" t="s">
        <v>172</v>
      </c>
      <c r="B2" t="s">
        <v>2</v>
      </c>
    </row>
    <row r="3" spans="1:9" x14ac:dyDescent="0.25">
      <c r="A3" t="s">
        <v>173</v>
      </c>
      <c r="B3">
        <v>3</v>
      </c>
      <c r="D3" s="9" t="s">
        <v>211</v>
      </c>
    </row>
    <row r="4" spans="1:9" x14ac:dyDescent="0.25">
      <c r="A4" t="s">
        <v>41</v>
      </c>
      <c r="D4" s="9" t="s">
        <v>210</v>
      </c>
    </row>
    <row r="5" spans="1:9" ht="15.75" x14ac:dyDescent="0.25">
      <c r="A5" s="26">
        <v>44761</v>
      </c>
    </row>
    <row r="7" spans="1:9" ht="30" x14ac:dyDescent="0.25">
      <c r="B7" s="8" t="s">
        <v>202</v>
      </c>
      <c r="C7" s="8" t="s">
        <v>203</v>
      </c>
      <c r="D7" s="8" t="s">
        <v>204</v>
      </c>
      <c r="E7" s="8" t="s">
        <v>205</v>
      </c>
      <c r="F7" s="8" t="s">
        <v>206</v>
      </c>
      <c r="G7" s="8" t="s">
        <v>207</v>
      </c>
      <c r="H7" s="8" t="s">
        <v>208</v>
      </c>
      <c r="I7" s="8" t="s">
        <v>209</v>
      </c>
    </row>
    <row r="8" spans="1:9" s="2" customFormat="1" x14ac:dyDescent="0.25">
      <c r="A8">
        <v>1996</v>
      </c>
      <c r="B8" s="7" t="str">
        <f>IFERROR(B22/1,"")</f>
        <v/>
      </c>
      <c r="C8" s="7" t="str">
        <f t="shared" ref="C8:I8" si="0">IFERROR(C22/1,"")</f>
        <v/>
      </c>
      <c r="D8" s="7" t="str">
        <f t="shared" si="0"/>
        <v/>
      </c>
      <c r="E8" s="7" t="str">
        <f t="shared" si="0"/>
        <v/>
      </c>
      <c r="F8" s="7">
        <f t="shared" si="0"/>
        <v>26</v>
      </c>
      <c r="G8" s="7">
        <f t="shared" si="0"/>
        <v>2.9</v>
      </c>
      <c r="H8" s="7">
        <f t="shared" si="0"/>
        <v>34</v>
      </c>
      <c r="I8" s="7">
        <f t="shared" si="0"/>
        <v>3.2410000000000001</v>
      </c>
    </row>
    <row r="9" spans="1:9" x14ac:dyDescent="0.25">
      <c r="A9">
        <v>2000</v>
      </c>
      <c r="B9" s="7" t="str">
        <f t="shared" ref="B9:I14" si="1">IFERROR(B23/1,"")</f>
        <v/>
      </c>
      <c r="C9" s="7" t="str">
        <f t="shared" si="1"/>
        <v/>
      </c>
      <c r="D9" s="7" t="str">
        <f t="shared" si="1"/>
        <v/>
      </c>
      <c r="E9" s="7" t="str">
        <f t="shared" si="1"/>
        <v/>
      </c>
      <c r="F9" s="7">
        <f t="shared" si="1"/>
        <v>20</v>
      </c>
      <c r="G9" s="7">
        <f t="shared" si="1"/>
        <v>1.9</v>
      </c>
      <c r="H9" s="7">
        <f t="shared" si="1"/>
        <v>34</v>
      </c>
      <c r="I9" s="7">
        <f t="shared" si="1"/>
        <v>3.17</v>
      </c>
    </row>
    <row r="10" spans="1:9" x14ac:dyDescent="0.25">
      <c r="A10">
        <v>2004</v>
      </c>
      <c r="B10" s="7">
        <f t="shared" si="1"/>
        <v>6.4740000000000002</v>
      </c>
      <c r="C10" s="7">
        <f t="shared" si="1"/>
        <v>1.909</v>
      </c>
      <c r="D10" s="7">
        <f t="shared" si="1"/>
        <v>5.383</v>
      </c>
      <c r="E10" s="7">
        <f t="shared" si="1"/>
        <v>0.45200000000000001</v>
      </c>
      <c r="F10" s="7">
        <f t="shared" si="1"/>
        <v>17</v>
      </c>
      <c r="G10" s="7">
        <f t="shared" si="1"/>
        <v>2</v>
      </c>
      <c r="H10" s="7">
        <f t="shared" si="1"/>
        <v>9.3279999999999994</v>
      </c>
      <c r="I10" s="7">
        <f t="shared" si="1"/>
        <v>3.1619999999999999</v>
      </c>
    </row>
    <row r="11" spans="1:9" x14ac:dyDescent="0.25">
      <c r="A11">
        <v>2008</v>
      </c>
      <c r="B11" s="7">
        <f t="shared" si="1"/>
        <v>4.6630000000000003</v>
      </c>
      <c r="C11" s="7">
        <f t="shared" si="1"/>
        <v>2.0139999999999998</v>
      </c>
      <c r="D11" s="7">
        <f t="shared" si="1"/>
        <v>4.9020000000000001</v>
      </c>
      <c r="E11" s="7">
        <f t="shared" si="1"/>
        <v>0.46400000000000002</v>
      </c>
      <c r="F11" s="7">
        <f t="shared" si="1"/>
        <v>11</v>
      </c>
      <c r="G11" s="7">
        <f t="shared" si="1"/>
        <v>2.2999999999999998</v>
      </c>
      <c r="H11" s="7">
        <f t="shared" si="1"/>
        <v>11.936</v>
      </c>
      <c r="I11" s="7">
        <f t="shared" si="1"/>
        <v>3.2549999999999999</v>
      </c>
    </row>
    <row r="12" spans="1:9" x14ac:dyDescent="0.25">
      <c r="A12">
        <v>2012</v>
      </c>
      <c r="B12" s="7">
        <f t="shared" si="1"/>
        <v>3.9630000000000001</v>
      </c>
      <c r="C12" s="7">
        <f t="shared" si="1"/>
        <v>2.524</v>
      </c>
      <c r="D12" s="7">
        <f t="shared" si="1"/>
        <v>3.7919999999999998</v>
      </c>
      <c r="E12" s="7">
        <f t="shared" si="1"/>
        <v>0.47799999999999998</v>
      </c>
      <c r="F12" s="7">
        <f t="shared" si="1"/>
        <v>9</v>
      </c>
      <c r="G12" s="7">
        <f t="shared" si="1"/>
        <v>2.66</v>
      </c>
      <c r="H12" s="7">
        <f t="shared" si="1"/>
        <v>9.61</v>
      </c>
      <c r="I12" s="7">
        <f t="shared" si="1"/>
        <v>3.3450000000000002</v>
      </c>
    </row>
    <row r="13" spans="1:9" x14ac:dyDescent="0.25">
      <c r="A13">
        <v>2016</v>
      </c>
      <c r="B13" s="7">
        <f t="shared" si="1"/>
        <v>2.911</v>
      </c>
      <c r="C13" s="7">
        <f t="shared" si="1"/>
        <v>1.8009999999999999</v>
      </c>
      <c r="D13" s="7">
        <f t="shared" si="1"/>
        <v>3.5390000000000001</v>
      </c>
      <c r="E13" s="7">
        <f t="shared" si="1"/>
        <v>0.49099999999999999</v>
      </c>
      <c r="F13" s="7">
        <f t="shared" si="1"/>
        <v>8.15</v>
      </c>
      <c r="G13" s="7">
        <f t="shared" si="1"/>
        <v>1.91</v>
      </c>
      <c r="H13" s="7">
        <f t="shared" si="1"/>
        <v>8.99</v>
      </c>
      <c r="I13" s="7">
        <f t="shared" si="1"/>
        <v>3.355</v>
      </c>
    </row>
    <row r="14" spans="1:9" x14ac:dyDescent="0.25">
      <c r="A14">
        <v>2020</v>
      </c>
      <c r="B14" s="7">
        <f t="shared" si="1"/>
        <v>2.0840000000000001</v>
      </c>
      <c r="C14" s="7">
        <f t="shared" si="1"/>
        <v>2.2679999999999998</v>
      </c>
      <c r="D14" s="7">
        <f t="shared" si="1"/>
        <v>3.5979999999999999</v>
      </c>
      <c r="E14" s="7">
        <f t="shared" si="1"/>
        <v>0.46700000000000003</v>
      </c>
      <c r="F14" s="7">
        <f t="shared" si="1"/>
        <v>5.86</v>
      </c>
      <c r="G14" s="7">
        <f t="shared" si="1"/>
        <v>2.38</v>
      </c>
      <c r="H14" s="7">
        <f t="shared" si="1"/>
        <v>8.33</v>
      </c>
      <c r="I14" s="7">
        <f t="shared" si="1"/>
        <v>3.2629999999999999</v>
      </c>
    </row>
    <row r="15" spans="1:9" x14ac:dyDescent="0.25">
      <c r="B15" s="7"/>
      <c r="C15" s="7"/>
      <c r="D15" s="7"/>
      <c r="E15" s="7"/>
      <c r="F15" s="7"/>
      <c r="G15" s="7"/>
      <c r="H15" s="7"/>
      <c r="I15" s="7"/>
    </row>
    <row r="16" spans="1:9" x14ac:dyDescent="0.25">
      <c r="B16" s="7"/>
      <c r="C16" s="7"/>
      <c r="D16" s="7"/>
      <c r="E16" s="7"/>
      <c r="F16" s="7"/>
      <c r="G16" s="7"/>
      <c r="H16" s="7"/>
      <c r="I16" s="7"/>
    </row>
    <row r="17" spans="1:9" x14ac:dyDescent="0.25">
      <c r="B17" s="7"/>
      <c r="C17" s="7"/>
      <c r="D17" s="7"/>
      <c r="E17" s="7"/>
      <c r="F17" s="7"/>
      <c r="G17" s="7"/>
      <c r="H17" s="7"/>
      <c r="I17" s="7"/>
    </row>
    <row r="18" spans="1:9" x14ac:dyDescent="0.25">
      <c r="B18" s="7"/>
      <c r="C18" s="7"/>
      <c r="D18" s="7"/>
      <c r="E18" s="7"/>
      <c r="F18" s="7"/>
      <c r="G18" s="7"/>
      <c r="H18" s="7"/>
      <c r="I18" s="7"/>
    </row>
    <row r="19" spans="1:9" x14ac:dyDescent="0.25">
      <c r="B19" s="7"/>
      <c r="C19" s="7"/>
      <c r="D19" s="7"/>
      <c r="E19" s="7"/>
      <c r="F19" s="7"/>
      <c r="G19" s="7"/>
      <c r="H19" s="7"/>
      <c r="I19" s="7"/>
    </row>
    <row r="20" spans="1:9" x14ac:dyDescent="0.25">
      <c r="B20" s="7"/>
      <c r="C20" s="7"/>
      <c r="D20" s="7"/>
      <c r="E20" s="7"/>
      <c r="F20" s="7"/>
      <c r="G20" s="7"/>
      <c r="H20" s="7"/>
      <c r="I20" s="7"/>
    </row>
    <row r="21" spans="1:9" x14ac:dyDescent="0.25">
      <c r="A21" s="25" t="s">
        <v>224</v>
      </c>
      <c r="B21" s="25" t="s">
        <v>415</v>
      </c>
      <c r="C21" s="25" t="s">
        <v>416</v>
      </c>
      <c r="D21" s="25" t="s">
        <v>417</v>
      </c>
      <c r="E21" s="25" t="s">
        <v>418</v>
      </c>
      <c r="F21" s="25" t="s">
        <v>419</v>
      </c>
      <c r="G21" s="25" t="s">
        <v>420</v>
      </c>
      <c r="H21" s="25" t="s">
        <v>421</v>
      </c>
      <c r="I21" s="25" t="s">
        <v>422</v>
      </c>
    </row>
    <row r="22" spans="1:9" x14ac:dyDescent="0.25">
      <c r="A22" s="25" t="s">
        <v>117</v>
      </c>
      <c r="B22" s="25" t="s">
        <v>225</v>
      </c>
      <c r="C22" s="25" t="s">
        <v>225</v>
      </c>
      <c r="D22" s="25" t="s">
        <v>225</v>
      </c>
      <c r="E22" s="25" t="s">
        <v>225</v>
      </c>
      <c r="F22" s="25" t="s">
        <v>423</v>
      </c>
      <c r="G22" s="25" t="s">
        <v>424</v>
      </c>
      <c r="H22" s="25" t="s">
        <v>425</v>
      </c>
      <c r="I22" s="25" t="s">
        <v>426</v>
      </c>
    </row>
    <row r="23" spans="1:9" x14ac:dyDescent="0.25">
      <c r="A23" s="25" t="s">
        <v>121</v>
      </c>
      <c r="B23" s="25" t="s">
        <v>225</v>
      </c>
      <c r="C23" s="25" t="s">
        <v>225</v>
      </c>
      <c r="D23" s="25" t="s">
        <v>225</v>
      </c>
      <c r="E23" s="25" t="s">
        <v>225</v>
      </c>
      <c r="F23" s="25" t="s">
        <v>427</v>
      </c>
      <c r="G23" s="25" t="s">
        <v>428</v>
      </c>
      <c r="H23" s="25" t="s">
        <v>425</v>
      </c>
      <c r="I23" s="25" t="s">
        <v>429</v>
      </c>
    </row>
    <row r="24" spans="1:9" x14ac:dyDescent="0.25">
      <c r="A24" s="25" t="s">
        <v>125</v>
      </c>
      <c r="B24" s="25" t="s">
        <v>430</v>
      </c>
      <c r="C24" s="25" t="s">
        <v>431</v>
      </c>
      <c r="D24" s="25" t="s">
        <v>432</v>
      </c>
      <c r="E24" s="25" t="s">
        <v>433</v>
      </c>
      <c r="F24" s="25" t="s">
        <v>434</v>
      </c>
      <c r="G24" s="25" t="s">
        <v>435</v>
      </c>
      <c r="H24" s="25" t="s">
        <v>436</v>
      </c>
      <c r="I24" s="25" t="s">
        <v>437</v>
      </c>
    </row>
    <row r="25" spans="1:9" x14ac:dyDescent="0.25">
      <c r="A25" s="25" t="s">
        <v>129</v>
      </c>
      <c r="B25" s="25" t="s">
        <v>438</v>
      </c>
      <c r="C25" s="25" t="s">
        <v>439</v>
      </c>
      <c r="D25" s="25" t="s">
        <v>440</v>
      </c>
      <c r="E25" s="25" t="s">
        <v>441</v>
      </c>
      <c r="F25" s="25" t="s">
        <v>442</v>
      </c>
      <c r="G25" s="25" t="s">
        <v>443</v>
      </c>
      <c r="H25" s="25" t="s">
        <v>444</v>
      </c>
      <c r="I25" s="25" t="s">
        <v>445</v>
      </c>
    </row>
    <row r="26" spans="1:9" x14ac:dyDescent="0.25">
      <c r="A26" s="25" t="s">
        <v>133</v>
      </c>
      <c r="B26" s="25" t="s">
        <v>446</v>
      </c>
      <c r="C26" s="25" t="s">
        <v>447</v>
      </c>
      <c r="D26" s="25" t="s">
        <v>448</v>
      </c>
      <c r="E26" s="25" t="s">
        <v>449</v>
      </c>
      <c r="F26" s="25" t="s">
        <v>450</v>
      </c>
      <c r="G26" s="25" t="s">
        <v>451</v>
      </c>
      <c r="H26" s="25" t="s">
        <v>452</v>
      </c>
      <c r="I26" s="25" t="s">
        <v>453</v>
      </c>
    </row>
    <row r="27" spans="1:9" x14ac:dyDescent="0.25">
      <c r="A27" s="25" t="s">
        <v>137</v>
      </c>
      <c r="B27" s="25" t="s">
        <v>454</v>
      </c>
      <c r="C27" s="25" t="s">
        <v>455</v>
      </c>
      <c r="D27" s="25" t="s">
        <v>456</v>
      </c>
      <c r="E27" s="25" t="s">
        <v>457</v>
      </c>
      <c r="F27" s="25" t="s">
        <v>458</v>
      </c>
      <c r="G27" s="25" t="s">
        <v>459</v>
      </c>
      <c r="H27" s="25" t="s">
        <v>460</v>
      </c>
      <c r="I27" s="25" t="s">
        <v>461</v>
      </c>
    </row>
    <row r="28" spans="1:9" x14ac:dyDescent="0.25">
      <c r="A28" s="25" t="s">
        <v>141</v>
      </c>
      <c r="B28" s="25" t="s">
        <v>462</v>
      </c>
      <c r="C28" s="25" t="s">
        <v>463</v>
      </c>
      <c r="D28" s="25" t="s">
        <v>464</v>
      </c>
      <c r="E28" s="25" t="s">
        <v>465</v>
      </c>
      <c r="F28" s="25" t="s">
        <v>466</v>
      </c>
      <c r="G28" s="25" t="s">
        <v>467</v>
      </c>
      <c r="H28" s="25" t="s">
        <v>468</v>
      </c>
      <c r="I28" s="25" t="s">
        <v>469</v>
      </c>
    </row>
  </sheetData>
  <hyperlinks>
    <hyperlink ref="A1" location="Inhalt!A1" display="zurück Zur Übersicht"/>
  </hyperlink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W23"/>
  <sheetViews>
    <sheetView workbookViewId="0">
      <selection activeCell="B9" sqref="B9"/>
    </sheetView>
  </sheetViews>
  <sheetFormatPr baseColWidth="10" defaultRowHeight="15" x14ac:dyDescent="0.25"/>
  <cols>
    <col min="1" max="1" width="11.140625" customWidth="1"/>
    <col min="2" max="2" width="7.28515625" customWidth="1"/>
    <col min="3" max="20" width="7.28515625" bestFit="1" customWidth="1"/>
    <col min="21" max="23" width="7.28515625" customWidth="1"/>
    <col min="24" max="29" width="5" bestFit="1" customWidth="1"/>
  </cols>
  <sheetData>
    <row r="1" spans="1:23" ht="21" x14ac:dyDescent="0.35">
      <c r="A1" s="10" t="s">
        <v>212</v>
      </c>
      <c r="B1" s="11" t="s">
        <v>144</v>
      </c>
    </row>
    <row r="2" spans="1:23" x14ac:dyDescent="0.25">
      <c r="A2" t="s">
        <v>172</v>
      </c>
      <c r="B2" t="s">
        <v>3</v>
      </c>
    </row>
    <row r="3" spans="1:23" x14ac:dyDescent="0.25">
      <c r="A3" t="s">
        <v>173</v>
      </c>
      <c r="B3">
        <v>0</v>
      </c>
    </row>
    <row r="4" spans="1:23" x14ac:dyDescent="0.25">
      <c r="A4" t="s">
        <v>41</v>
      </c>
    </row>
    <row r="5" spans="1:23" ht="15.75" x14ac:dyDescent="0.25">
      <c r="A5" s="26">
        <v>44860</v>
      </c>
    </row>
    <row r="7" spans="1:23" x14ac:dyDescent="0.25">
      <c r="B7">
        <v>2001</v>
      </c>
      <c r="C7">
        <v>2002</v>
      </c>
      <c r="D7">
        <v>2003</v>
      </c>
      <c r="E7">
        <v>2004</v>
      </c>
      <c r="F7">
        <v>2005</v>
      </c>
      <c r="G7">
        <v>2006</v>
      </c>
      <c r="H7">
        <v>2007</v>
      </c>
      <c r="I7">
        <v>2008</v>
      </c>
      <c r="J7">
        <v>2009</v>
      </c>
      <c r="K7">
        <v>2010</v>
      </c>
      <c r="L7">
        <v>2011</v>
      </c>
      <c r="M7">
        <v>2012</v>
      </c>
      <c r="N7">
        <v>2013</v>
      </c>
      <c r="O7">
        <v>2014</v>
      </c>
      <c r="P7">
        <v>2015</v>
      </c>
      <c r="Q7">
        <v>2016</v>
      </c>
      <c r="R7">
        <v>2017</v>
      </c>
      <c r="S7">
        <v>2018</v>
      </c>
      <c r="T7">
        <v>2019</v>
      </c>
      <c r="U7">
        <v>2020</v>
      </c>
      <c r="V7">
        <v>2021</v>
      </c>
      <c r="W7">
        <v>2022</v>
      </c>
    </row>
    <row r="8" spans="1:23" s="4" customFormat="1" x14ac:dyDescent="0.25">
      <c r="A8" s="4" t="s">
        <v>142</v>
      </c>
      <c r="B8" s="4">
        <f>IFERROR(B22/1,"")</f>
        <v>23</v>
      </c>
      <c r="C8" s="4">
        <f t="shared" ref="C8:W8" si="0">IFERROR(C22/1,"")</f>
        <v>26</v>
      </c>
      <c r="D8" s="4">
        <f t="shared" si="0"/>
        <v>27</v>
      </c>
      <c r="E8" s="4">
        <f t="shared" si="0"/>
        <v>24</v>
      </c>
      <c r="F8" s="4">
        <f t="shared" si="0"/>
        <v>24</v>
      </c>
      <c r="G8" s="4">
        <f t="shared" si="0"/>
        <v>25</v>
      </c>
      <c r="H8" s="4">
        <f t="shared" si="0"/>
        <v>24</v>
      </c>
      <c r="I8" s="4">
        <f t="shared" si="0"/>
        <v>22</v>
      </c>
      <c r="J8" s="4">
        <f t="shared" si="0"/>
        <v>23</v>
      </c>
      <c r="K8" s="4">
        <f t="shared" si="0"/>
        <v>23</v>
      </c>
      <c r="L8" s="4">
        <f t="shared" si="0"/>
        <v>23</v>
      </c>
      <c r="M8" s="4">
        <f t="shared" si="0"/>
        <v>21</v>
      </c>
      <c r="N8" s="4">
        <f t="shared" si="0"/>
        <v>21</v>
      </c>
      <c r="O8" s="4">
        <f t="shared" si="0"/>
        <v>19</v>
      </c>
      <c r="P8" s="4">
        <f t="shared" si="0"/>
        <v>18</v>
      </c>
      <c r="Q8" s="4">
        <f t="shared" si="0"/>
        <v>20</v>
      </c>
      <c r="R8" s="4">
        <f t="shared" si="0"/>
        <v>17</v>
      </c>
      <c r="S8" s="4">
        <f t="shared" si="0"/>
        <v>18</v>
      </c>
      <c r="T8" s="4">
        <f t="shared" si="0"/>
        <v>16</v>
      </c>
      <c r="U8" s="4">
        <f t="shared" si="0"/>
        <v>15</v>
      </c>
      <c r="V8" s="4">
        <f t="shared" si="0"/>
        <v>15</v>
      </c>
      <c r="W8" s="4">
        <f t="shared" si="0"/>
        <v>16</v>
      </c>
    </row>
    <row r="9" spans="1:23" s="4" customFormat="1" x14ac:dyDescent="0.25">
      <c r="A9" s="4" t="s">
        <v>143</v>
      </c>
      <c r="B9" s="4" t="str">
        <f>IFERROR(B23/1,"")</f>
        <v/>
      </c>
      <c r="C9" s="4" t="str">
        <f t="shared" ref="C9:W9" si="1">IFERROR(C23/1,"")</f>
        <v/>
      </c>
      <c r="D9" s="4" t="str">
        <f t="shared" si="1"/>
        <v/>
      </c>
      <c r="E9" s="4" t="str">
        <f t="shared" si="1"/>
        <v/>
      </c>
      <c r="F9" s="4" t="str">
        <f t="shared" si="1"/>
        <v/>
      </c>
      <c r="G9" s="4" t="str">
        <f t="shared" si="1"/>
        <v/>
      </c>
      <c r="H9" s="4" t="str">
        <f t="shared" si="1"/>
        <v/>
      </c>
      <c r="I9" s="4">
        <f t="shared" si="1"/>
        <v>17</v>
      </c>
      <c r="J9" s="4">
        <f t="shared" si="1"/>
        <v>18</v>
      </c>
      <c r="K9" s="4">
        <f t="shared" si="1"/>
        <v>18</v>
      </c>
      <c r="L9" s="4">
        <f t="shared" si="1"/>
        <v>18</v>
      </c>
      <c r="M9" s="4">
        <f t="shared" si="1"/>
        <v>15</v>
      </c>
      <c r="N9" s="4">
        <f t="shared" si="1"/>
        <v>16</v>
      </c>
      <c r="O9" s="4">
        <f t="shared" si="1"/>
        <v>15</v>
      </c>
      <c r="P9" s="4">
        <f t="shared" si="1"/>
        <v>13</v>
      </c>
      <c r="Q9" s="4">
        <f t="shared" si="1"/>
        <v>13</v>
      </c>
      <c r="R9" s="4">
        <f t="shared" si="1"/>
        <v>13</v>
      </c>
      <c r="S9" s="4">
        <f t="shared" si="1"/>
        <v>13</v>
      </c>
      <c r="T9" s="4">
        <f t="shared" si="1"/>
        <v>9</v>
      </c>
      <c r="U9" s="4">
        <f t="shared" si="1"/>
        <v>10</v>
      </c>
      <c r="V9" s="4">
        <f t="shared" si="1"/>
        <v>11</v>
      </c>
      <c r="W9" s="4">
        <f t="shared" si="1"/>
        <v>10</v>
      </c>
    </row>
    <row r="21" spans="1:23" x14ac:dyDescent="0.25">
      <c r="A21" s="25" t="s">
        <v>224</v>
      </c>
      <c r="B21" s="25" t="s">
        <v>122</v>
      </c>
      <c r="C21" s="25" t="s">
        <v>123</v>
      </c>
      <c r="D21" s="25" t="s">
        <v>124</v>
      </c>
      <c r="E21" s="25" t="s">
        <v>125</v>
      </c>
      <c r="F21" s="25" t="s">
        <v>126</v>
      </c>
      <c r="G21" s="25" t="s">
        <v>127</v>
      </c>
      <c r="H21" s="25" t="s">
        <v>128</v>
      </c>
      <c r="I21" s="25" t="s">
        <v>129</v>
      </c>
      <c r="J21" s="25" t="s">
        <v>130</v>
      </c>
      <c r="K21" s="25" t="s">
        <v>131</v>
      </c>
      <c r="L21" s="25" t="s">
        <v>132</v>
      </c>
      <c r="M21" s="25" t="s">
        <v>133</v>
      </c>
      <c r="N21" s="25" t="s">
        <v>134</v>
      </c>
      <c r="O21" s="25" t="s">
        <v>135</v>
      </c>
      <c r="P21" s="25" t="s">
        <v>136</v>
      </c>
      <c r="Q21" s="25" t="s">
        <v>137</v>
      </c>
      <c r="R21" s="25" t="s">
        <v>138</v>
      </c>
      <c r="S21" s="25" t="s">
        <v>139</v>
      </c>
      <c r="T21" s="25" t="s">
        <v>140</v>
      </c>
      <c r="U21" s="25" t="s">
        <v>141</v>
      </c>
      <c r="V21" s="25" t="s">
        <v>214</v>
      </c>
      <c r="W21" s="25" t="s">
        <v>875</v>
      </c>
    </row>
    <row r="22" spans="1:23" x14ac:dyDescent="0.25">
      <c r="A22" s="25" t="s">
        <v>142</v>
      </c>
      <c r="B22" s="25" t="s">
        <v>411</v>
      </c>
      <c r="C22" s="25" t="s">
        <v>408</v>
      </c>
      <c r="D22" s="25" t="s">
        <v>406</v>
      </c>
      <c r="E22" s="25" t="s">
        <v>410</v>
      </c>
      <c r="F22" s="25" t="s">
        <v>410</v>
      </c>
      <c r="G22" s="25" t="s">
        <v>409</v>
      </c>
      <c r="H22" s="25" t="s">
        <v>410</v>
      </c>
      <c r="I22" s="25" t="s">
        <v>412</v>
      </c>
      <c r="J22" s="25" t="s">
        <v>411</v>
      </c>
      <c r="K22" s="25" t="s">
        <v>411</v>
      </c>
      <c r="L22" s="25" t="s">
        <v>411</v>
      </c>
      <c r="M22" s="25" t="s">
        <v>470</v>
      </c>
      <c r="N22" s="25" t="s">
        <v>470</v>
      </c>
      <c r="O22" s="25" t="s">
        <v>471</v>
      </c>
      <c r="P22" s="25" t="s">
        <v>414</v>
      </c>
      <c r="Q22" s="25" t="s">
        <v>361</v>
      </c>
      <c r="R22" s="25" t="s">
        <v>413</v>
      </c>
      <c r="S22" s="25" t="s">
        <v>414</v>
      </c>
      <c r="T22" s="25" t="s">
        <v>472</v>
      </c>
      <c r="U22" s="25" t="s">
        <v>473</v>
      </c>
      <c r="V22" s="25" t="s">
        <v>473</v>
      </c>
      <c r="W22" s="25" t="s">
        <v>472</v>
      </c>
    </row>
    <row r="23" spans="1:23" x14ac:dyDescent="0.25">
      <c r="A23" s="25" t="s">
        <v>143</v>
      </c>
      <c r="B23" s="25" t="s">
        <v>225</v>
      </c>
      <c r="C23" s="25" t="s">
        <v>225</v>
      </c>
      <c r="D23" s="25" t="s">
        <v>225</v>
      </c>
      <c r="E23" s="25" t="s">
        <v>225</v>
      </c>
      <c r="F23" s="25" t="s">
        <v>225</v>
      </c>
      <c r="G23" s="25" t="s">
        <v>225</v>
      </c>
      <c r="H23" s="25" t="s">
        <v>225</v>
      </c>
      <c r="I23" s="25" t="s">
        <v>413</v>
      </c>
      <c r="J23" s="25" t="s">
        <v>414</v>
      </c>
      <c r="K23" s="25" t="s">
        <v>414</v>
      </c>
      <c r="L23" s="25" t="s">
        <v>414</v>
      </c>
      <c r="M23" s="25" t="s">
        <v>473</v>
      </c>
      <c r="N23" s="25" t="s">
        <v>472</v>
      </c>
      <c r="O23" s="25" t="s">
        <v>473</v>
      </c>
      <c r="P23" s="25" t="s">
        <v>360</v>
      </c>
      <c r="Q23" s="25" t="s">
        <v>360</v>
      </c>
      <c r="R23" s="25" t="s">
        <v>360</v>
      </c>
      <c r="S23" s="25" t="s">
        <v>360</v>
      </c>
      <c r="T23" s="25" t="s">
        <v>359</v>
      </c>
      <c r="U23" s="25" t="s">
        <v>474</v>
      </c>
      <c r="V23" s="25" t="s">
        <v>475</v>
      </c>
      <c r="W23" s="25" t="s">
        <v>474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H22"/>
  <sheetViews>
    <sheetView topLeftCell="F1" workbookViewId="0">
      <selection activeCell="AH11" sqref="AH11"/>
    </sheetView>
  </sheetViews>
  <sheetFormatPr baseColWidth="10" defaultRowHeight="15" x14ac:dyDescent="0.25"/>
  <cols>
    <col min="1" max="1" width="18.140625" customWidth="1"/>
    <col min="2" max="2" width="7.28515625" customWidth="1"/>
    <col min="3" max="33" width="7.28515625" bestFit="1" customWidth="1"/>
    <col min="34" max="34" width="7.28515625" customWidth="1"/>
    <col min="35" max="47" width="5" bestFit="1" customWidth="1"/>
  </cols>
  <sheetData>
    <row r="1" spans="1:34" ht="21" x14ac:dyDescent="0.35">
      <c r="A1" s="10" t="s">
        <v>212</v>
      </c>
      <c r="B1" s="11" t="s">
        <v>46</v>
      </c>
    </row>
    <row r="2" spans="1:34" x14ac:dyDescent="0.25">
      <c r="A2" t="s">
        <v>172</v>
      </c>
      <c r="B2" t="s">
        <v>5</v>
      </c>
    </row>
    <row r="3" spans="1:34" x14ac:dyDescent="0.25">
      <c r="A3" t="s">
        <v>173</v>
      </c>
      <c r="B3">
        <v>0</v>
      </c>
    </row>
    <row r="4" spans="1:34" x14ac:dyDescent="0.25">
      <c r="A4" t="s">
        <v>41</v>
      </c>
    </row>
    <row r="5" spans="1:34" ht="15.75" x14ac:dyDescent="0.25">
      <c r="A5" s="26">
        <v>44860</v>
      </c>
    </row>
    <row r="7" spans="1:34" x14ac:dyDescent="0.25">
      <c r="B7">
        <v>1990</v>
      </c>
      <c r="C7">
        <v>1991</v>
      </c>
      <c r="D7">
        <v>1992</v>
      </c>
      <c r="E7">
        <v>1993</v>
      </c>
      <c r="F7">
        <v>1994</v>
      </c>
      <c r="G7">
        <v>1995</v>
      </c>
      <c r="H7">
        <v>1996</v>
      </c>
      <c r="I7">
        <v>1997</v>
      </c>
      <c r="J7">
        <v>1998</v>
      </c>
      <c r="K7">
        <v>1999</v>
      </c>
      <c r="L7">
        <v>2000</v>
      </c>
      <c r="M7">
        <v>2001</v>
      </c>
      <c r="N7">
        <v>2002</v>
      </c>
      <c r="O7">
        <v>2003</v>
      </c>
      <c r="P7">
        <v>2004</v>
      </c>
      <c r="Q7">
        <v>2005</v>
      </c>
      <c r="R7">
        <v>2006</v>
      </c>
      <c r="S7">
        <v>2007</v>
      </c>
      <c r="T7">
        <v>2008</v>
      </c>
      <c r="U7">
        <v>2009</v>
      </c>
      <c r="V7">
        <v>2010</v>
      </c>
      <c r="W7">
        <v>2011</v>
      </c>
      <c r="X7">
        <v>2012</v>
      </c>
      <c r="Y7">
        <v>2013</v>
      </c>
      <c r="Z7">
        <v>2014</v>
      </c>
      <c r="AA7">
        <v>2015</v>
      </c>
      <c r="AB7">
        <v>2016</v>
      </c>
      <c r="AC7">
        <v>2017</v>
      </c>
      <c r="AD7">
        <v>2018</v>
      </c>
      <c r="AE7">
        <v>2019</v>
      </c>
      <c r="AF7">
        <v>2020</v>
      </c>
      <c r="AG7">
        <v>2021</v>
      </c>
      <c r="AH7">
        <v>2022</v>
      </c>
    </row>
    <row r="8" spans="1:34" s="4" customFormat="1" x14ac:dyDescent="0.25">
      <c r="A8" s="4" t="s">
        <v>6</v>
      </c>
      <c r="B8" s="4">
        <f>IFERROR(uug_04_o3_hintergrund[1990]/1,"")</f>
        <v>43</v>
      </c>
      <c r="C8" s="4">
        <f>IFERROR(uug_04_o3_hintergrund[1991]/1,"")</f>
        <v>4</v>
      </c>
      <c r="D8" s="4">
        <f>IFERROR(uug_04_o3_hintergrund[1992]/1,"")</f>
        <v>17</v>
      </c>
      <c r="E8" s="4">
        <f>IFERROR(uug_04_o3_hintergrund[1993]/1,"")</f>
        <v>12</v>
      </c>
      <c r="F8" s="4">
        <f>IFERROR(uug_04_o3_hintergrund[1994]/1,"")</f>
        <v>42</v>
      </c>
      <c r="G8" s="4">
        <f>IFERROR(uug_04_o3_hintergrund[1995]/1,"")</f>
        <v>37</v>
      </c>
      <c r="H8" s="4">
        <f>IFERROR(uug_04_o3_hintergrund[1996]/1,"")</f>
        <v>6</v>
      </c>
      <c r="I8" s="4">
        <f>IFERROR(uug_04_o3_hintergrund[1997]/1,"")</f>
        <v>5</v>
      </c>
      <c r="J8" s="4">
        <f>IFERROR(uug_04_o3_hintergrund[1998]/1,"")</f>
        <v>12</v>
      </c>
      <c r="K8" s="4">
        <f>IFERROR(uug_04_o3_hintergrund[1999]/1,"")</f>
        <v>2</v>
      </c>
      <c r="L8" s="4">
        <f>IFERROR(uug_04_o3_hintergrund[2000]/1,"")</f>
        <v>4</v>
      </c>
      <c r="M8" s="4">
        <f>IFERROR(uug_04_o3_hintergrund[2001]/1,"")</f>
        <v>17</v>
      </c>
      <c r="N8" s="4">
        <f>IFERROR(uug_04_o3_hintergrund[2002]/1,"")</f>
        <v>2</v>
      </c>
      <c r="O8" s="4">
        <f>IFERROR(uug_04_o3_hintergrund[2003]/1,"")</f>
        <v>43</v>
      </c>
      <c r="P8" s="4">
        <f>IFERROR(uug_04_o3_hintergrund[2004]/1,"")</f>
        <v>3</v>
      </c>
      <c r="Q8" s="4">
        <f>IFERROR(uug_04_o3_hintergrund[2005]/1,"")</f>
        <v>6</v>
      </c>
      <c r="R8" s="4">
        <f>IFERROR(uug_04_o3_hintergrund[2006]/1,"")</f>
        <v>24</v>
      </c>
      <c r="S8" s="4">
        <f>IFERROR(uug_04_o3_hintergrund[2007]/1,"")</f>
        <v>1</v>
      </c>
      <c r="T8" s="4">
        <f>IFERROR(uug_04_o3_hintergrund[2008]/1,"")</f>
        <v>1</v>
      </c>
      <c r="U8" s="4">
        <f>IFERROR(uug_04_o3_hintergrund[2009]/1,"")</f>
        <v>1</v>
      </c>
      <c r="V8" s="4">
        <f>IFERROR(uug_04_o3_hintergrund[2010]/1,"")</f>
        <v>21</v>
      </c>
      <c r="W8" s="4">
        <f>IFERROR(uug_04_o3_hintergrund[2011]/1,"")</f>
        <v>1</v>
      </c>
      <c r="X8" s="4">
        <f>IFERROR(uug_04_o3_hintergrund[2012]/1,"")</f>
        <v>6</v>
      </c>
      <c r="Y8" s="4">
        <f>IFERROR(uug_04_o3_hintergrund[2013]/1,"")</f>
        <v>3</v>
      </c>
      <c r="Z8" s="4">
        <f>IFERROR(uug_04_o3_hintergrund[2014]/1,"")</f>
        <v>0</v>
      </c>
      <c r="AA8" s="4">
        <f>IFERROR(uug_04_o3_hintergrund[2015]/1,"")</f>
        <v>14</v>
      </c>
      <c r="AB8" s="4">
        <f>IFERROR(uug_04_o3_hintergrund[2016]/1,"")</f>
        <v>4</v>
      </c>
      <c r="AC8" s="4">
        <f>IFERROR(uug_04_o3_hintergrund[2017]/1,"")</f>
        <v>3</v>
      </c>
      <c r="AD8" s="4">
        <f>IFERROR(uug_04_o3_hintergrund[2018]/1,"")</f>
        <v>13</v>
      </c>
      <c r="AE8" s="4">
        <f>IFERROR(uug_04_o3_hintergrund[2019]/1,"")</f>
        <v>15</v>
      </c>
      <c r="AF8" s="4">
        <f>IFERROR(uug_04_o3_hintergrund[2020]/1,"")</f>
        <v>8</v>
      </c>
      <c r="AG8" s="4">
        <f>IFERROR(uug_04_o3_hintergrund[2021]/1,"")</f>
        <v>1</v>
      </c>
      <c r="AH8" s="4">
        <f>IFERROR(uug_04_o3_hintergrund[2022]/1,"")</f>
        <v>2</v>
      </c>
    </row>
    <row r="21" spans="1:34" x14ac:dyDescent="0.25">
      <c r="A21" s="25" t="s">
        <v>224</v>
      </c>
      <c r="B21" s="25" t="s">
        <v>111</v>
      </c>
      <c r="C21" s="25" t="s">
        <v>112</v>
      </c>
      <c r="D21" s="25" t="s">
        <v>113</v>
      </c>
      <c r="E21" s="25" t="s">
        <v>114</v>
      </c>
      <c r="F21" s="25" t="s">
        <v>115</v>
      </c>
      <c r="G21" s="25" t="s">
        <v>116</v>
      </c>
      <c r="H21" s="25" t="s">
        <v>117</v>
      </c>
      <c r="I21" s="25" t="s">
        <v>118</v>
      </c>
      <c r="J21" s="25" t="s">
        <v>119</v>
      </c>
      <c r="K21" s="25" t="s">
        <v>120</v>
      </c>
      <c r="L21" s="25" t="s">
        <v>121</v>
      </c>
      <c r="M21" s="25" t="s">
        <v>122</v>
      </c>
      <c r="N21" s="25" t="s">
        <v>123</v>
      </c>
      <c r="O21" s="25" t="s">
        <v>124</v>
      </c>
      <c r="P21" s="25" t="s">
        <v>125</v>
      </c>
      <c r="Q21" s="25" t="s">
        <v>126</v>
      </c>
      <c r="R21" s="25" t="s">
        <v>127</v>
      </c>
      <c r="S21" s="25" t="s">
        <v>128</v>
      </c>
      <c r="T21" s="25" t="s">
        <v>129</v>
      </c>
      <c r="U21" s="25" t="s">
        <v>130</v>
      </c>
      <c r="V21" s="25" t="s">
        <v>131</v>
      </c>
      <c r="W21" s="25" t="s">
        <v>132</v>
      </c>
      <c r="X21" s="25" t="s">
        <v>133</v>
      </c>
      <c r="Y21" s="25" t="s">
        <v>134</v>
      </c>
      <c r="Z21" s="25" t="s">
        <v>135</v>
      </c>
      <c r="AA21" s="25" t="s">
        <v>136</v>
      </c>
      <c r="AB21" s="25" t="s">
        <v>137</v>
      </c>
      <c r="AC21" s="25" t="s">
        <v>138</v>
      </c>
      <c r="AD21" s="25" t="s">
        <v>139</v>
      </c>
      <c r="AE21" s="25" t="s">
        <v>140</v>
      </c>
      <c r="AF21" s="25" t="s">
        <v>141</v>
      </c>
      <c r="AG21" s="25" t="s">
        <v>214</v>
      </c>
      <c r="AH21" s="25" t="s">
        <v>875</v>
      </c>
    </row>
    <row r="22" spans="1:34" x14ac:dyDescent="0.25">
      <c r="A22" s="25" t="s">
        <v>6</v>
      </c>
      <c r="B22" s="25" t="s">
        <v>476</v>
      </c>
      <c r="C22" s="25" t="s">
        <v>357</v>
      </c>
      <c r="D22" s="25" t="s">
        <v>413</v>
      </c>
      <c r="E22" s="25" t="s">
        <v>477</v>
      </c>
      <c r="F22" s="25" t="s">
        <v>353</v>
      </c>
      <c r="G22" s="25" t="s">
        <v>478</v>
      </c>
      <c r="H22" s="25" t="s">
        <v>358</v>
      </c>
      <c r="I22" s="25" t="s">
        <v>479</v>
      </c>
      <c r="J22" s="25" t="s">
        <v>477</v>
      </c>
      <c r="K22" s="25" t="s">
        <v>356</v>
      </c>
      <c r="L22" s="25" t="s">
        <v>357</v>
      </c>
      <c r="M22" s="25" t="s">
        <v>413</v>
      </c>
      <c r="N22" s="25" t="s">
        <v>356</v>
      </c>
      <c r="O22" s="25" t="s">
        <v>476</v>
      </c>
      <c r="P22" s="25" t="s">
        <v>480</v>
      </c>
      <c r="Q22" s="25" t="s">
        <v>358</v>
      </c>
      <c r="R22" s="25" t="s">
        <v>410</v>
      </c>
      <c r="S22" s="25" t="s">
        <v>355</v>
      </c>
      <c r="T22" s="25" t="s">
        <v>355</v>
      </c>
      <c r="U22" s="25" t="s">
        <v>355</v>
      </c>
      <c r="V22" s="25" t="s">
        <v>470</v>
      </c>
      <c r="W22" s="25" t="s">
        <v>355</v>
      </c>
      <c r="X22" s="25" t="s">
        <v>358</v>
      </c>
      <c r="Y22" s="25" t="s">
        <v>480</v>
      </c>
      <c r="Z22" s="25" t="s">
        <v>354</v>
      </c>
      <c r="AA22" s="25" t="s">
        <v>481</v>
      </c>
      <c r="AB22" s="25" t="s">
        <v>357</v>
      </c>
      <c r="AC22" s="25" t="s">
        <v>480</v>
      </c>
      <c r="AD22" s="25" t="s">
        <v>360</v>
      </c>
      <c r="AE22" s="25" t="s">
        <v>473</v>
      </c>
      <c r="AF22" s="25" t="s">
        <v>482</v>
      </c>
      <c r="AG22" s="25" t="s">
        <v>355</v>
      </c>
      <c r="AH22" s="25" t="s">
        <v>356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F23"/>
  <sheetViews>
    <sheetView workbookViewId="0">
      <selection activeCell="A21" sqref="A21:F23"/>
    </sheetView>
  </sheetViews>
  <sheetFormatPr baseColWidth="10" defaultRowHeight="15" x14ac:dyDescent="0.25"/>
  <cols>
    <col min="1" max="1" width="19.140625" customWidth="1"/>
    <col min="2" max="2" width="9" customWidth="1"/>
    <col min="3" max="3" width="22.85546875" bestFit="1" customWidth="1"/>
    <col min="4" max="4" width="24.5703125" bestFit="1" customWidth="1"/>
    <col min="5" max="5" width="11" bestFit="1" customWidth="1"/>
    <col min="6" max="6" width="11.28515625" bestFit="1" customWidth="1"/>
  </cols>
  <sheetData>
    <row r="1" spans="1:6" ht="21" x14ac:dyDescent="0.35">
      <c r="A1" s="10" t="s">
        <v>212</v>
      </c>
      <c r="B1" s="11" t="s">
        <v>48</v>
      </c>
    </row>
    <row r="2" spans="1:6" x14ac:dyDescent="0.25">
      <c r="A2" t="s">
        <v>172</v>
      </c>
      <c r="B2" t="s">
        <v>7</v>
      </c>
    </row>
    <row r="3" spans="1:6" x14ac:dyDescent="0.25">
      <c r="A3" t="s">
        <v>173</v>
      </c>
      <c r="B3">
        <v>0</v>
      </c>
    </row>
    <row r="4" spans="1:6" x14ac:dyDescent="0.25">
      <c r="A4" t="s">
        <v>41</v>
      </c>
    </row>
    <row r="5" spans="1:6" ht="15.75" x14ac:dyDescent="0.25">
      <c r="A5" s="26">
        <v>44614</v>
      </c>
    </row>
    <row r="7" spans="1:6" x14ac:dyDescent="0.25">
      <c r="B7" t="s">
        <v>8</v>
      </c>
      <c r="C7" t="s">
        <v>9</v>
      </c>
      <c r="D7" t="s">
        <v>10</v>
      </c>
      <c r="E7" t="s">
        <v>11</v>
      </c>
      <c r="F7" t="s">
        <v>12</v>
      </c>
    </row>
    <row r="8" spans="1:6" s="4" customFormat="1" x14ac:dyDescent="0.25">
      <c r="A8" s="4" t="s">
        <v>13</v>
      </c>
      <c r="B8" s="4">
        <f>IFERROR(B22/1,"")</f>
        <v>646200</v>
      </c>
      <c r="C8" s="4">
        <f t="shared" ref="C8:F8" si="0">IFERROR(C22/1,"")</f>
        <v>128600</v>
      </c>
      <c r="D8" s="4">
        <f t="shared" si="0"/>
        <v>62400</v>
      </c>
      <c r="E8" s="4">
        <f t="shared" si="0"/>
        <v>1800</v>
      </c>
      <c r="F8" s="4">
        <f t="shared" si="0"/>
        <v>600</v>
      </c>
    </row>
    <row r="9" spans="1:6" s="4" customFormat="1" x14ac:dyDescent="0.25">
      <c r="A9" s="4" t="s">
        <v>14</v>
      </c>
      <c r="B9" s="4">
        <f>IFERROR(B23/1,"")</f>
        <v>131300</v>
      </c>
      <c r="C9" s="4">
        <f t="shared" ref="C9:F9" si="1">IFERROR(C23/1,"")</f>
        <v>87300</v>
      </c>
      <c r="D9" s="4">
        <f t="shared" si="1"/>
        <v>1600</v>
      </c>
      <c r="E9" s="4">
        <f t="shared" si="1"/>
        <v>2200</v>
      </c>
      <c r="F9" s="4">
        <f t="shared" si="1"/>
        <v>0</v>
      </c>
    </row>
    <row r="21" spans="1:6" x14ac:dyDescent="0.25">
      <c r="A21" s="25" t="s">
        <v>224</v>
      </c>
      <c r="B21" s="25" t="s">
        <v>8</v>
      </c>
      <c r="C21" s="25" t="s">
        <v>9</v>
      </c>
      <c r="D21" s="25" t="s">
        <v>10</v>
      </c>
      <c r="E21" s="25" t="s">
        <v>11</v>
      </c>
      <c r="F21" s="25" t="s">
        <v>12</v>
      </c>
    </row>
    <row r="22" spans="1:6" x14ac:dyDescent="0.25">
      <c r="A22" s="25" t="s">
        <v>13</v>
      </c>
      <c r="B22" s="25" t="s">
        <v>483</v>
      </c>
      <c r="C22" s="25" t="s">
        <v>484</v>
      </c>
      <c r="D22" s="25" t="s">
        <v>485</v>
      </c>
      <c r="E22" s="25" t="s">
        <v>486</v>
      </c>
      <c r="F22" s="25" t="s">
        <v>487</v>
      </c>
    </row>
    <row r="23" spans="1:6" x14ac:dyDescent="0.25">
      <c r="A23" s="25" t="s">
        <v>14</v>
      </c>
      <c r="B23" s="25" t="s">
        <v>488</v>
      </c>
      <c r="C23" s="25" t="s">
        <v>489</v>
      </c>
      <c r="D23" s="25" t="s">
        <v>490</v>
      </c>
      <c r="E23" s="25" t="s">
        <v>491</v>
      </c>
      <c r="F23" s="25" t="s">
        <v>354</v>
      </c>
    </row>
  </sheetData>
  <hyperlinks>
    <hyperlink ref="A1" location="Inhalt!A1" display="zurück Zur Übersicht"/>
  </hyperlinks>
  <pageMargins left="0.7" right="0.7" top="0.78740157499999996" bottom="0.78740157499999996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c e d 1 a e 4 - 0 0 1 4 - 4 8 4 d - 8 6 5 a - a 7 c b e 3 2 d d 3 3 e "   x m l n s = " h t t p : / / s c h e m a s . m i c r o s o f t . c o m / D a t a M a s h u p " > A A A A A L g F A A B Q S w M E F A A C A A g A O V J 8 V / W R M i i o A A A A + A A A A B I A H A B D b 2 5 m a W c v U G F j a 2 F n Z S 5 4 b W w g o h g A K K A U A A A A A A A A A A A A A A A A A A A A A A A A A A A A h Y 9 N C s I w G E S v U r J v / t S i 8 j V d q D s L g i B u S x r b Y J t K k 5 r e z Y V H 8 g o W t O r O 5 Q x v 4 M 3 j d o e k r 6 v g q l q r G x M j h i k K l J F N r k 0 R o 8 6 d w j l K B O w y e c 4 K F Q y w s c v e 6 h i V z l 2 W h H j v s Z / g p i 0 I p 5 S R Y 7 r d y 1 L V W a i N d Z m R C n 1 W + f 8 V E n B 4 y Q i O I 4 Z n b M H x N G J A x h p S b b 4 I H 4 w x B f J T w q q r X N c q k a t w v Q E y R i D v F + I J U E s D B B Q A A g A I A D l S f F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5 U n x X H + v s R a 4 C A A B p J Q A A E w A c A E Z v c m 1 1 b G F z L 1 N l Y 3 R p b 2 4 x L m 0 g o h g A K K A U A A A A A A A A A A A A A A A A A A A A A A A A A A A A 7 d f P T t s w H A f w e y X e I Q q X I t V N a f m z D f U w w T R O 0 y a Q d k A 7 O M k v i Y V j V / b P L T D x N n u G v Q A v t l 8 p j E K D 5 J t 7 c C + J n H 9 f + 9 M 4 P 1 s o U G i V X K y 2 + y c 7 v Z 2 e b b i B M t l N r w H Y a M z Q g M g b 7 m z N L a T J N J G A v Y R + P x x I C d R w a u f D M 1 2 4 F h T 2 f 0 I + P N U K a d / 2 0 w Z x Z j 9 l m W s X I F G o U l x z 1 A b U U J n F s I S s E h J 4 2 Q q V r R 3 M S o 4 8 K + y c z V w u R Z F 1 R R n S 8 X R v c H U G U r Q C w U z T k 3 S Q f F G F L o W q p 0 e H o 9 H + g F J q h A u 8 l T B 9 2 R 1 + 0 w p + 7 Q 0 e + 7 G b n j / 8 b c A k N V h 0 F U J y T p H A L P t 6 y X M 6 + 7 v R L V 2 6 a r b 9 V c c H y d V T + 2 c p L w o u u b F T N G 7 t v l / h 4 Y + i S y h c c n k 7 e 7 n h p e H K V t q 0 p 1 q 6 V t E x s P 1 3 c w x + / 0 6 p Z 0 h n J Q g 3 e H + / 1 x P q n W e 8 N n S u Z q N 9 p v Q N g 1 Z Y S 8 q g A i F 2 Z o m K v o p j G r k x a w S p m N o 4 V Y Z k 3 A g T H X 0 d j 1 k F Q l n k L t + O V 7 I z U P T 0 9 Z y w W X u z L e / l R p j o 6 O t 4 w P R k W x j f Z o m K v o p H T H I w L Z N l 2 E l 1 P U f U 8 9 U 7 f B 4 1 J e o G Q / q 9 T h I F P Q R 5 v l j W 9 8 v 1 W c M l W p 5 X X M p A i N 1 h o q O v 4 5 g Z K G 4 L S a M S U n A t R r T z t Z u w i i a v o g E 1 B 5 M b 7 o o m p G F H n G j p a 3 n A r I B S O l X b p 1 E M S b m Z J k r 6 S h 4 y W z Q L q i k A 6 U t E K 2 4 0 P O j c 2 h k o e v p 6 H t G 0 J s D a G h a c N q u e h b L c C B M d f R 2 P m R L 0 z 0 f 2 u N J e 8 N C U X X m i p o e m k m Z Z 8 t d Q M U 6 n h F r + v 4 0 R 7 X z t J k x x d I a + S g 7 v n m v G k I q d g a K n r y d V i y i K a 4 u 6 q s L W O + / F i Z a + l l Q s c n A G H g c O g j q + i R I N f Q 0 / M P V / K Z 4 L y d V d S M b N N F H S V / I j a 9 S c b c M n 8 n W S K N g t + A 9 Q S w E C L Q A U A A I A C A A 5 U n x X 9 Z E y K K g A A A D 4 A A A A E g A A A A A A A A A A A A A A A A A A A A A A Q 2 9 u Z m l n L 1 B h Y 2 t h Z 2 U u e G 1 s U E s B A i 0 A F A A C A A g A O V J 8 V w / K 6 a u k A A A A 6 Q A A A B M A A A A A A A A A A A A A A A A A 9 A A A A F t D b 2 5 0 Z W 5 0 X 1 R 5 c G V z X S 5 4 b W x Q S w E C L Q A U A A I A C A A 5 U n x X H + v s R a 4 C A A B p J Q A A E w A A A A A A A A A A A A A A A A D l A Q A A R m 9 y b X V s Y X M v U 2 V j d G l v b j E u b V B L B Q Y A A A A A A w A D A M I A A A D g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h 4 Q E A A A A A A D / h A Q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r Z W U t M D I t d H J l a W J o Y X V z Z 2 F z Z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r Z W V f M D J f d H J l a W J o Y X V z Z 2 F z Z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R y Z W l i a G F 1 c 2 d h c 2 U i I C 8 + P E V u d H J 5 I F R 5 c G U 9 I l J l Y 2 9 2 Z X J 5 V G F y Z 2 V 0 Q 2 9 s d W 1 u I i B W Y W x 1 Z T 0 i b D E i I C 8 + P E V u d H J 5 I F R 5 c G U 9 I l J l Y 2 9 2 Z X J 5 V G F y Z 2 V 0 U m 9 3 I i B W Y W x 1 Z T 0 i b D I w I i A v P j x F b n R y e S B U e X B l P S J G a W x s Q 2 9 s d W 1 u T m F t Z X M i I F Z h b H V l P S J z W y Z x d W 9 0 O 0 N v b H V t b j E m c X V v d D s s J n F 1 b 3 Q 7 M T k 5 M C Z x d W 9 0 O y w m c X V v d D s x O T k x L T E 5 O T Q m c X V v d D s s J n F 1 b 3 Q 7 M T k 5 N S Z x d W 9 0 O y w m c X V v d D s x O T k 2 L T E 5 O T k m c X V v d D s s J n F 1 b 3 Q 7 M j A w M C Z x d W 9 0 O y w m c X V v d D s y M D A x L T I w M D Q m c X V v d D s s J n F 1 b 3 Q 7 M j A w N S Z x d W 9 0 O y w m c X V v d D s y M D A 2 J n F 1 b 3 Q 7 L C Z x d W 9 0 O z I w M D c m c X V v d D s s J n F 1 b 3 Q 7 M j A w O C Z x d W 9 0 O y w m c X V v d D s y M D A 5 J n F 1 b 3 Q 7 L C Z x d W 9 0 O z I w M T A m c X V v d D s s J n F 1 b 3 Q 7 M j A x M S Z x d W 9 0 O y w m c X V v d D s y M D E y J n F 1 b 3 Q 7 L C Z x d W 9 0 O z I w M T M m c X V v d D s s J n F 1 b 3 Q 7 M j A x N C Z x d W 9 0 O y w m c X V v d D s y M D E 1 J n F 1 b 3 Q 7 L C Z x d W 9 0 O z I w M T Y m c X V v d D s s J n F 1 b 3 Q 7 M j A x N y Z x d W 9 0 O y w m c X V v d D s y M D E 4 J n F 1 b 3 Q 7 L C Z x d W 9 0 O z I w M T k m c X V v d D s s J n F 1 b 3 Q 7 M j A y M C Z x d W 9 0 O y w m c X V v d D s y M D I x J n F 1 b 3 Q 7 X S I g L z 4 8 R W 5 0 c n k g V H l w Z T 0 i R m l s b E N v b H V t b l R 5 c G V z I i B W Y W x 1 Z T 0 i c 0 J n W U d C Z 1 l H Q m d Z R 0 J n W U d C Z 1 l H Q m d Z R 0 J n W U d C Z 1 l H I i A v P j x F b n R y e S B U e X B l P S J G a W x s T G F z d F V w Z G F 0 Z W Q i I F Z h b H V l P S J k M j A y M y 0 x M S 0 y O F Q w O T o x N z o 0 N S 4 3 M j c x O T M y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R d W V y e U l E I i B W Y W x 1 Z T 0 i c 2 U w M D d h M j c y L W Y w Y T M t N D E 5 O S 0 4 M D I z L W E 3 N j M x M D g z N T E 3 O C I g L z 4 8 R W 5 0 c n k g V H l w Z T 0 i R m l s b F N 0 Y X R 1 c y I g V m F s d W U 9 I n N D b 2 1 w b G V 0 Z S I g L z 4 8 R W 5 0 c n k g V H l w Z T 0 i R m l s b E N v d W 5 0 I i B W Y W x 1 Z T 0 i b D g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Z W U t M D I t d H J l a W J o Y X V z Z 2 F z Z S 9 H Z c O k b m R l c n R l c i B U e X A u e y w w f S Z x d W 9 0 O y w m c X V v d D t T Z W N 0 a W 9 u M S 9 r Z W U t M D I t d H J l a W J o Y X V z Z 2 F z Z S 9 R d W V s b G U u e 0 N v b H V t b j I s M X 0 m c X V v d D s s J n F 1 b 3 Q 7 U 2 V j d G l v b j E v a 2 V l L T A y L X R y Z W l i a G F 1 c 2 d h c 2 U v U X V l b G x l L n t D b 2 x 1 b W 4 z L D J 9 J n F 1 b 3 Q 7 L C Z x d W 9 0 O 1 N l Y 3 R p b 2 4 x L 2 t l Z S 0 w M i 1 0 c m V p Y m h h d X N n Y X N l L 1 F 1 Z W x s Z S 5 7 Q 2 9 s d W 1 u N C w z f S Z x d W 9 0 O y w m c X V v d D t T Z W N 0 a W 9 u M S 9 r Z W U t M D I t d H J l a W J o Y X V z Z 2 F z Z S 9 R d W V s b G U u e 0 N v b H V t b j U s N H 0 m c X V v d D s s J n F 1 b 3 Q 7 U 2 V j d G l v b j E v a 2 V l L T A y L X R y Z W l i a G F 1 c 2 d h c 2 U v U X V l b G x l L n t D b 2 x 1 b W 4 2 L D V 9 J n F 1 b 3 Q 7 L C Z x d W 9 0 O 1 N l Y 3 R p b 2 4 x L 2 t l Z S 0 w M i 1 0 c m V p Y m h h d X N n Y X N l L 1 F 1 Z W x s Z S 5 7 Q 2 9 s d W 1 u N y w 2 f S Z x d W 9 0 O y w m c X V v d D t T Z W N 0 a W 9 u M S 9 r Z W U t M D I t d H J l a W J o Y X V z Z 2 F z Z S 9 R d W V s b G U u e 0 N v b H V t b j g s N 3 0 m c X V v d D s s J n F 1 b 3 Q 7 U 2 V j d G l v b j E v a 2 V l L T A y L X R y Z W l i a G F 1 c 2 d h c 2 U v U X V l b G x l L n t D b 2 x 1 b W 4 5 L D h 9 J n F 1 b 3 Q 7 L C Z x d W 9 0 O 1 N l Y 3 R p b 2 4 x L 2 t l Z S 0 w M i 1 0 c m V p Y m h h d X N n Y X N l L 1 F 1 Z W x s Z S 5 7 Q 2 9 s d W 1 u M T A s O X 0 m c X V v d D s s J n F 1 b 3 Q 7 U 2 V j d G l v b j E v a 2 V l L T A y L X R y Z W l i a G F 1 c 2 d h c 2 U v U X V l b G x l L n t D b 2 x 1 b W 4 x M S w x M H 0 m c X V v d D s s J n F 1 b 3 Q 7 U 2 V j d G l v b j E v a 2 V l L T A y L X R y Z W l i a G F 1 c 2 d h c 2 U v U X V l b G x l L n t D b 2 x 1 b W 4 x M i w x M X 0 m c X V v d D s s J n F 1 b 3 Q 7 U 2 V j d G l v b j E v a 2 V l L T A y L X R y Z W l i a G F 1 c 2 d h c 2 U v U X V l b G x l L n t D b 2 x 1 b W 4 x M y w x M n 0 m c X V v d D s s J n F 1 b 3 Q 7 U 2 V j d G l v b j E v a 2 V l L T A y L X R y Z W l i a G F 1 c 2 d h c 2 U v U X V l b G x l L n t D b 2 x 1 b W 4 x N C w x M 3 0 m c X V v d D s s J n F 1 b 3 Q 7 U 2 V j d G l v b j E v a 2 V l L T A y L X R y Z W l i a G F 1 c 2 d h c 2 U v U X V l b G x l L n t D b 2 x 1 b W 4 x N S w x N H 0 m c X V v d D s s J n F 1 b 3 Q 7 U 2 V j d G l v b j E v a 2 V l L T A y L X R y Z W l i a G F 1 c 2 d h c 2 U v U X V l b G x l L n t D b 2 x 1 b W 4 x N i w x N X 0 m c X V v d D s s J n F 1 b 3 Q 7 U 2 V j d G l v b j E v a 2 V l L T A y L X R y Z W l i a G F 1 c 2 d h c 2 U v U X V l b G x l L n t D b 2 x 1 b W 4 x N y w x N n 0 m c X V v d D s s J n F 1 b 3 Q 7 U 2 V j d G l v b j E v a 2 V l L T A y L X R y Z W l i a G F 1 c 2 d h c 2 U v U X V l b G x l L n t D b 2 x 1 b W 4 x O C w x N 3 0 m c X V v d D s s J n F 1 b 3 Q 7 U 2 V j d G l v b j E v a 2 V l L T A y L X R y Z W l i a G F 1 c 2 d h c 2 U v U X V l b G x l L n t D b 2 x 1 b W 4 x O S w x O H 0 m c X V v d D s s J n F 1 b 3 Q 7 U 2 V j d G l v b j E v a 2 V l L T A y L X R y Z W l i a G F 1 c 2 d h c 2 U v U X V l b G x l L n t D b 2 x 1 b W 4 y M C w x O X 0 m c X V v d D s s J n F 1 b 3 Q 7 U 2 V j d G l v b j E v a 2 V l L T A y L X R y Z W l i a G F 1 c 2 d h c 2 U v U X V l b G x l L n t D b 2 x 1 b W 4 y M S w y M H 0 m c X V v d D s s J n F 1 b 3 Q 7 U 2 V j d G l v b j E v a 2 V l L T A y L X R y Z W l i a G F 1 c 2 d h c 2 U v U X V l b G x l L n t D b 2 x 1 b W 4 y M i w y M X 0 m c X V v d D s s J n F 1 b 3 Q 7 U 2 V j d G l v b j E v a 2 V l L T A y L X R y Z W l i a G F 1 c 2 d h c 2 U v U X V l b G x l L n t D b 2 x 1 b W 4 y M y w y M n 0 m c X V v d D s s J n F 1 b 3 Q 7 U 2 V j d G l v b j E v a 2 V l L T A y L X R y Z W l i a G F 1 c 2 d h c 2 U v U X V l b G x l L n t D b 2 x 1 b W 4 y N C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2 t l Z S 0 w M i 1 0 c m V p Y m h h d X N n Y X N l L 0 d l w 6 R u Z G V y d G V y I F R 5 c C 5 7 L D B 9 J n F 1 b 3 Q 7 L C Z x d W 9 0 O 1 N l Y 3 R p b 2 4 x L 2 t l Z S 0 w M i 1 0 c m V p Y m h h d X N n Y X N l L 1 F 1 Z W x s Z S 5 7 Q 2 9 s d W 1 u M i w x f S Z x d W 9 0 O y w m c X V v d D t T Z W N 0 a W 9 u M S 9 r Z W U t M D I t d H J l a W J o Y X V z Z 2 F z Z S 9 R d W V s b G U u e 0 N v b H V t b j M s M n 0 m c X V v d D s s J n F 1 b 3 Q 7 U 2 V j d G l v b j E v a 2 V l L T A y L X R y Z W l i a G F 1 c 2 d h c 2 U v U X V l b G x l L n t D b 2 x 1 b W 4 0 L D N 9 J n F 1 b 3 Q 7 L C Z x d W 9 0 O 1 N l Y 3 R p b 2 4 x L 2 t l Z S 0 w M i 1 0 c m V p Y m h h d X N n Y X N l L 1 F 1 Z W x s Z S 5 7 Q 2 9 s d W 1 u N S w 0 f S Z x d W 9 0 O y w m c X V v d D t T Z W N 0 a W 9 u M S 9 r Z W U t M D I t d H J l a W J o Y X V z Z 2 F z Z S 9 R d W V s b G U u e 0 N v b H V t b j Y s N X 0 m c X V v d D s s J n F 1 b 3 Q 7 U 2 V j d G l v b j E v a 2 V l L T A y L X R y Z W l i a G F 1 c 2 d h c 2 U v U X V l b G x l L n t D b 2 x 1 b W 4 3 L D Z 9 J n F 1 b 3 Q 7 L C Z x d W 9 0 O 1 N l Y 3 R p b 2 4 x L 2 t l Z S 0 w M i 1 0 c m V p Y m h h d X N n Y X N l L 1 F 1 Z W x s Z S 5 7 Q 2 9 s d W 1 u O C w 3 f S Z x d W 9 0 O y w m c X V v d D t T Z W N 0 a W 9 u M S 9 r Z W U t M D I t d H J l a W J o Y X V z Z 2 F z Z S 9 R d W V s b G U u e 0 N v b H V t b j k s O H 0 m c X V v d D s s J n F 1 b 3 Q 7 U 2 V j d G l v b j E v a 2 V l L T A y L X R y Z W l i a G F 1 c 2 d h c 2 U v U X V l b G x l L n t D b 2 x 1 b W 4 x M C w 5 f S Z x d W 9 0 O y w m c X V v d D t T Z W N 0 a W 9 u M S 9 r Z W U t M D I t d H J l a W J o Y X V z Z 2 F z Z S 9 R d W V s b G U u e 0 N v b H V t b j E x L D E w f S Z x d W 9 0 O y w m c X V v d D t T Z W N 0 a W 9 u M S 9 r Z W U t M D I t d H J l a W J o Y X V z Z 2 F z Z S 9 R d W V s b G U u e 0 N v b H V t b j E y L D E x f S Z x d W 9 0 O y w m c X V v d D t T Z W N 0 a W 9 u M S 9 r Z W U t M D I t d H J l a W J o Y X V z Z 2 F z Z S 9 R d W V s b G U u e 0 N v b H V t b j E z L D E y f S Z x d W 9 0 O y w m c X V v d D t T Z W N 0 a W 9 u M S 9 r Z W U t M D I t d H J l a W J o Y X V z Z 2 F z Z S 9 R d W V s b G U u e 0 N v b H V t b j E 0 L D E z f S Z x d W 9 0 O y w m c X V v d D t T Z W N 0 a W 9 u M S 9 r Z W U t M D I t d H J l a W J o Y X V z Z 2 F z Z S 9 R d W V s b G U u e 0 N v b H V t b j E 1 L D E 0 f S Z x d W 9 0 O y w m c X V v d D t T Z W N 0 a W 9 u M S 9 r Z W U t M D I t d H J l a W J o Y X V z Z 2 F z Z S 9 R d W V s b G U u e 0 N v b H V t b j E 2 L D E 1 f S Z x d W 9 0 O y w m c X V v d D t T Z W N 0 a W 9 u M S 9 r Z W U t M D I t d H J l a W J o Y X V z Z 2 F z Z S 9 R d W V s b G U u e 0 N v b H V t b j E 3 L D E 2 f S Z x d W 9 0 O y w m c X V v d D t T Z W N 0 a W 9 u M S 9 r Z W U t M D I t d H J l a W J o Y X V z Z 2 F z Z S 9 R d W V s b G U u e 0 N v b H V t b j E 4 L D E 3 f S Z x d W 9 0 O y w m c X V v d D t T Z W N 0 a W 9 u M S 9 r Z W U t M D I t d H J l a W J o Y X V z Z 2 F z Z S 9 R d W V s b G U u e 0 N v b H V t b j E 5 L D E 4 f S Z x d W 9 0 O y w m c X V v d D t T Z W N 0 a W 9 u M S 9 r Z W U t M D I t d H J l a W J o Y X V z Z 2 F z Z S 9 R d W V s b G U u e 0 N v b H V t b j I w L D E 5 f S Z x d W 9 0 O y w m c X V v d D t T Z W N 0 a W 9 u M S 9 r Z W U t M D I t d H J l a W J o Y X V z Z 2 F z Z S 9 R d W V s b G U u e 0 N v b H V t b j I x L D I w f S Z x d W 9 0 O y w m c X V v d D t T Z W N 0 a W 9 u M S 9 r Z W U t M D I t d H J l a W J o Y X V z Z 2 F z Z S 9 R d W V s b G U u e 0 N v b H V t b j I y L D I x f S Z x d W 9 0 O y w m c X V v d D t T Z W N 0 a W 9 u M S 9 r Z W U t M D I t d H J l a W J o Y X V z Z 2 F z Z S 9 R d W V s b G U u e 0 N v b H V t b j I z L D I y f S Z x d W 9 0 O y w m c X V v d D t T Z W N 0 a W 9 u M S 9 r Z W U t M D I t d H J l a W J o Y X V z Z 2 F z Z S 9 R d W V s b G U u e 0 N v b H V t b j I 0 L D I z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r Z W U t M D I t d H J l a W J o Y X V z Z 2 F z Z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Z W U t M D I t d H J l a W J o Y X V z Z 2 F z Z S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Z W U t M D I t d H J l a W J o Y X V z Z 2 F z Z S 9 I J U M z J U I 2 a G V y J T I w Z 2 V z d H V m d G U l M j B I Z W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d W c t M D E t b m 9 4 L W V t a X N z a W 9 u Z W 4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d X V n X z A x X 2 5 v e F 9 l b W l z c 2 l v b m V u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3 R p Y 2 t z d G 9 m Z m R p b 3 h p Z G V t a X N z a W 9 u Z W 4 i I C 8 + P E V u d H J 5 I F R 5 c G U 9 I l J l Y 2 9 2 Z X J 5 V G F y Z 2 V 0 Q 2 9 s d W 1 u I i B W Y W x 1 Z T 0 i b D E i I C 8 + P E V u d H J 5 I F R 5 c G U 9 I l J l Y 2 9 2 Z X J 5 V G F y Z 2 V 0 U m 9 3 I i B W Y W x 1 Z T 0 i b D I w I i A v P j x F b n R y e S B U e X B l P S J G a W x s R X J y b 3 J D b 3 V u d C I g V m F s d W U 9 I m w w I i A v P j x F b n R y e S B U e X B l P S J G a W x s T G F z d F V w Z G F 0 Z W Q i I F Z h b H V l P S J k M j A y M y 0 x M S 0 y O F Q w O T o x N z o 0 N S 4 2 M D Q 1 M j E x W i I g L z 4 8 R W 5 0 c n k g V H l w Z T 0 i R m l s b E N v b H V t b l R 5 c G V z I i B W Y W x 1 Z T 0 i c 0 J n W U d C Z 1 l H Q m d Z P S I g L z 4 8 R W 5 0 c n k g V H l w Z T 0 i R m l s b E N v b H V t b k 5 h b W V z I i B W Y W x 1 Z T 0 i c 1 s m c X V v d D t D b 2 x 1 b W 4 x J n F 1 b 3 Q 7 L C Z x d W 9 0 O z E 5 O T Y m c X V v d D s s J n F 1 b 3 Q 7 M j A w M C Z x d W 9 0 O y w m c X V v d D s y M D A 0 J n F 1 b 3 Q 7 L C Z x d W 9 0 O z I w M D g m c X V v d D s s J n F 1 b 3 Q 7 M j A x M i Z x d W 9 0 O y w m c X V v d D s y M D E 2 J n F 1 b 3 Q 7 L C Z x d W 9 0 O z I w M j A m c X V v d D t d I i A v P j x F b n R y e S B U e X B l P S J G a W x s U 3 R h d H V z I i B W Y W x 1 Z T 0 i c 0 N v b X B s Z X R l I i A v P j x F b n R y e S B U e X B l P S J R d W V y e U l E I i B W Y W x 1 Z T 0 i c 2 F i M j h k M z k 3 L T I z M T c t N G Q 0 Z C 0 5 M z d l L T g 0 Y T M 1 Z m N h Z D U 1 Y S I g L z 4 8 R W 5 0 c n k g V H l w Z T 0 i R m l s b E V y c m 9 y Q 2 9 k Z S I g V m F s d W U 9 I n N V b m t u b 3 d u I i A v P j x F b n R y e S B U e X B l P S J G a W x s Q 2 9 1 b n Q i I F Z h b H V l P S J s N C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X V n L T A x L W 5 v e C 1 l b W l z c 2 l v b m V u L 0 d l w 6 R u Z G V y d G V y I F R 5 c C 5 7 L D B 9 J n F 1 b 3 Q 7 L C Z x d W 9 0 O 1 N l Y 3 R p b 2 4 x L 3 V 1 Z y 0 w M S 1 u b 3 g t Z W 1 p c 3 N p b 2 5 l b i 9 R d W V s b G U u e 0 N v b H V t b j I s M X 0 m c X V v d D s s J n F 1 b 3 Q 7 U 2 V j d G l v b j E v d X V n L T A x L W 5 v e C 1 l b W l z c 2 l v b m V u L 1 F 1 Z W x s Z S 5 7 Q 2 9 s d W 1 u M y w y f S Z x d W 9 0 O y w m c X V v d D t T Z W N 0 a W 9 u M S 9 1 d W c t M D E t b m 9 4 L W V t a X N z a W 9 u Z W 4 v U X V l b G x l L n t D b 2 x 1 b W 4 0 L D N 9 J n F 1 b 3 Q 7 L C Z x d W 9 0 O 1 N l Y 3 R p b 2 4 x L 3 V 1 Z y 0 w M S 1 u b 3 g t Z W 1 p c 3 N p b 2 5 l b i 9 R d W V s b G U u e 0 N v b H V t b j U s N H 0 m c X V v d D s s J n F 1 b 3 Q 7 U 2 V j d G l v b j E v d X V n L T A x L W 5 v e C 1 l b W l z c 2 l v b m V u L 1 F 1 Z W x s Z S 5 7 Q 2 9 s d W 1 u N i w 1 f S Z x d W 9 0 O y w m c X V v d D t T Z W N 0 a W 9 u M S 9 1 d W c t M D E t b m 9 4 L W V t a X N z a W 9 u Z W 4 v U X V l b G x l L n t D b 2 x 1 b W 4 3 L D Z 9 J n F 1 b 3 Q 7 L C Z x d W 9 0 O 1 N l Y 3 R p b 2 4 x L 3 V 1 Z y 0 w M S 1 u b 3 g t Z W 1 p c 3 N p b 2 5 l b i 9 R d W V s b G U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d X V n L T A x L W 5 v e C 1 l b W l z c 2 l v b m V u L 0 d l w 6 R u Z G V y d G V y I F R 5 c C 5 7 L D B 9 J n F 1 b 3 Q 7 L C Z x d W 9 0 O 1 N l Y 3 R p b 2 4 x L 3 V 1 Z y 0 w M S 1 u b 3 g t Z W 1 p c 3 N p b 2 5 l b i 9 R d W V s b G U u e 0 N v b H V t b j I s M X 0 m c X V v d D s s J n F 1 b 3 Q 7 U 2 V j d G l v b j E v d X V n L T A x L W 5 v e C 1 l b W l z c 2 l v b m V u L 1 F 1 Z W x s Z S 5 7 Q 2 9 s d W 1 u M y w y f S Z x d W 9 0 O y w m c X V v d D t T Z W N 0 a W 9 u M S 9 1 d W c t M D E t b m 9 4 L W V t a X N z a W 9 u Z W 4 v U X V l b G x l L n t D b 2 x 1 b W 4 0 L D N 9 J n F 1 b 3 Q 7 L C Z x d W 9 0 O 1 N l Y 3 R p b 2 4 x L 3 V 1 Z y 0 w M S 1 u b 3 g t Z W 1 p c 3 N p b 2 5 l b i 9 R d W V s b G U u e 0 N v b H V t b j U s N H 0 m c X V v d D s s J n F 1 b 3 Q 7 U 2 V j d G l v b j E v d X V n L T A x L W 5 v e C 1 l b W l z c 2 l v b m V u L 1 F 1 Z W x s Z S 5 7 Q 2 9 s d W 1 u N i w 1 f S Z x d W 9 0 O y w m c X V v d D t T Z W N 0 a W 9 u M S 9 1 d W c t M D E t b m 9 4 L W V t a X N z a W 9 u Z W 4 v U X V l b G x l L n t D b 2 x 1 b W 4 3 L D Z 9 J n F 1 b 3 Q 7 L C Z x d W 9 0 O 1 N l Y 3 R p b 2 4 x L 3 V 1 Z y 0 w M S 1 u b 3 g t Z W 1 p c 3 N p b 2 5 l b i 9 R d W V s b G U u e 0 N v b H V t b j g s N 3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d X V n L T A x L W 5 v e C 1 l b W l z c 2 l v b m V u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1 Z y 0 w M S 1 u b 3 g t Z W 1 p c 3 N p b 2 5 l b i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d W c t M D E t b m 9 4 L W V t a X N z a W 9 u Z W 4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X V n L T A y L W 5 v M i 1 o a W 5 0 Z X J n c n V u Z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1 d W d f M D J f b m 8 y X 2 h p b n R l c m d y d W 5 k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T k 8 y L U t v b n R l b n R y Y X R p b 2 4 g S E c i I C 8 + P E V u d H J 5 I F R 5 c G U 9 I l J l Y 2 9 2 Z X J 5 V G F y Z 2 V 0 Q 2 9 s d W 1 u I i B W Y W x 1 Z T 0 i b D E i I C 8 + P E V u d H J 5 I F R 5 c G U 9 I l J l Y 2 9 2 Z X J 5 V G F y Z 2 V 0 U m 9 3 I i B W Y W x 1 Z T 0 i b D I w I i A v P j x F b n R y e S B U e X B l P S J G a W x s R X J y b 3 J D b 3 V u d C I g V m F s d W U 9 I m w w I i A v P j x F b n R y e S B U e X B l P S J G a W x s T G F z d F V w Z G F 0 Z W Q i I F Z h b H V l P S J k M j A y M y 0 x M S 0 y O F Q w O T o x N z o 0 N S 4 0 N T E 5 M j g 0 W i I g L z 4 8 R W 5 0 c n k g V H l w Z T 0 i R m l s b E N v b H V t b l R 5 c G V z I i B W Y W x 1 Z T 0 i c 0 J n W U d C Z 1 l H Q m d Z R 0 J n W U d C Z 1 l H Q m d Z R 0 J n W U d C Z 1 l H Q m d Z R 0 J n W U d C Z 1 l H Q m c 9 P S I g L z 4 8 R W 5 0 c n k g V H l w Z T 0 i R m l s b E N v b H V t b k 5 h b W V z I i B W Y W x 1 Z T 0 i c 1 s m c X V v d D t D b 2 x 1 b W 4 x J n F 1 b 3 Q 7 L C Z x d W 9 0 O z E 5 O T A m c X V v d D s s J n F 1 b 3 Q 7 M T k 5 M S Z x d W 9 0 O y w m c X V v d D s x O T k y J n F 1 b 3 Q 7 L C Z x d W 9 0 O z E 5 O T M m c X V v d D s s J n F 1 b 3 Q 7 M T k 5 N C Z x d W 9 0 O y w m c X V v d D s x O T k 1 J n F 1 b 3 Q 7 L C Z x d W 9 0 O z E 5 O T Y m c X V v d D s s J n F 1 b 3 Q 7 M T k 5 N y Z x d W 9 0 O y w m c X V v d D s x O T k 4 J n F 1 b 3 Q 7 L C Z x d W 9 0 O z E 5 O T k m c X V v d D s s J n F 1 b 3 Q 7 M j A w M C Z x d W 9 0 O y w m c X V v d D s y M D A x J n F 1 b 3 Q 7 L C Z x d W 9 0 O z I w M D I m c X V v d D s s J n F 1 b 3 Q 7 M j A w M y Z x d W 9 0 O y w m c X V v d D s y M D A 0 J n F 1 b 3 Q 7 L C Z x d W 9 0 O z I w M D U m c X V v d D s s J n F 1 b 3 Q 7 M j A w N i Z x d W 9 0 O y w m c X V v d D s y M D A 3 J n F 1 b 3 Q 7 L C Z x d W 9 0 O z I w M D g m c X V v d D s s J n F 1 b 3 Q 7 M j A w O S Z x d W 9 0 O y w m c X V v d D s y M D E w J n F 1 b 3 Q 7 L C Z x d W 9 0 O z I w M T E m c X V v d D s s J n F 1 b 3 Q 7 M j A x M i Z x d W 9 0 O y w m c X V v d D s y M D E z J n F 1 b 3 Q 7 L C Z x d W 9 0 O z I w M T Q m c X V v d D s s J n F 1 b 3 Q 7 M j A x N S Z x d W 9 0 O y w m c X V v d D s y M D E 2 J n F 1 b 3 Q 7 L C Z x d W 9 0 O z I w M T c m c X V v d D s s J n F 1 b 3 Q 7 M j A x O C Z x d W 9 0 O y w m c X V v d D s y M D E 5 J n F 1 b 3 Q 7 L C Z x d W 9 0 O z I w M j A m c X V v d D s s J n F 1 b 3 Q 7 M j A y M S Z x d W 9 0 O y w m c X V v d D s y M D I y J n F 1 b 3 Q 7 X S I g L z 4 8 R W 5 0 c n k g V H l w Z T 0 i R m l s b F N 0 Y X R 1 c y I g V m F s d W U 9 I n N D b 2 1 w b G V 0 Z S I g L z 4 8 R W 5 0 c n k g V H l w Z T 0 i U X V l c n l J R C I g V m F s d W U 9 I n N i O T R j Z D B i Y y 0 1 M j I 0 L T R k M z Y t O G I z N S 1 j O G I x M D N j N z Q z Y m M i I C 8 + P E V u d H J 5 I F R 5 c G U 9 I k Z p b G x F c n J v c k N v Z G U i I F Z h b H V l P S J z V W 5 r b m 9 3 b i I g L z 4 8 R W 5 0 c n k g V H l w Z T 0 i R m l s b E N v d W 5 0 I i B W Y W x 1 Z T 0 i b D E i I C 8 + P E V u d H J 5 I F R 5 c G U 9 I l J l b G F 0 a W 9 u c 2 h p c E l u Z m 9 D b 2 5 0 Y W l u Z X I i I F Z h b H V l P S J z e y Z x d W 9 0 O 2 N v b H V t b k N v d W 5 0 J n F 1 b 3 Q 7 O j M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1 d W c t M D I t b m 8 y L W h p b n R l c m d y d W 5 k L 0 d l w 6 R u Z G V y d G V y I F R 5 c C 5 7 L D B 9 J n F 1 b 3 Q 7 L C Z x d W 9 0 O 1 N l Y 3 R p b 2 4 x L 3 V 1 Z y 0 w M i 1 u b z I t a G l u d G V y Z 3 J 1 b m Q v U X V l b G x l L n t D b 2 x 1 b W 4 y L D F 9 J n F 1 b 3 Q 7 L C Z x d W 9 0 O 1 N l Y 3 R p b 2 4 x L 3 V 1 Z y 0 w M i 1 u b z I t a G l u d G V y Z 3 J 1 b m Q v U X V l b G x l L n t D b 2 x 1 b W 4 z L D J 9 J n F 1 b 3 Q 7 L C Z x d W 9 0 O 1 N l Y 3 R p b 2 4 x L 3 V 1 Z y 0 w M i 1 u b z I t a G l u d G V y Z 3 J 1 b m Q v U X V l b G x l L n t D b 2 x 1 b W 4 0 L D N 9 J n F 1 b 3 Q 7 L C Z x d W 9 0 O 1 N l Y 3 R p b 2 4 x L 3 V 1 Z y 0 w M i 1 u b z I t a G l u d G V y Z 3 J 1 b m Q v U X V l b G x l L n t D b 2 x 1 b W 4 1 L D R 9 J n F 1 b 3 Q 7 L C Z x d W 9 0 O 1 N l Y 3 R p b 2 4 x L 3 V 1 Z y 0 w M i 1 u b z I t a G l u d G V y Z 3 J 1 b m Q v U X V l b G x l L n t D b 2 x 1 b W 4 2 L D V 9 J n F 1 b 3 Q 7 L C Z x d W 9 0 O 1 N l Y 3 R p b 2 4 x L 3 V 1 Z y 0 w M i 1 u b z I t a G l u d G V y Z 3 J 1 b m Q v U X V l b G x l L n t D b 2 x 1 b W 4 3 L D Z 9 J n F 1 b 3 Q 7 L C Z x d W 9 0 O 1 N l Y 3 R p b 2 4 x L 3 V 1 Z y 0 w M i 1 u b z I t a G l u d G V y Z 3 J 1 b m Q v U X V l b G x l L n t D b 2 x 1 b W 4 4 L D d 9 J n F 1 b 3 Q 7 L C Z x d W 9 0 O 1 N l Y 3 R p b 2 4 x L 3 V 1 Z y 0 w M i 1 u b z I t a G l u d G V y Z 3 J 1 b m Q v U X V l b G x l L n t D b 2 x 1 b W 4 5 L D h 9 J n F 1 b 3 Q 7 L C Z x d W 9 0 O 1 N l Y 3 R p b 2 4 x L 3 V 1 Z y 0 w M i 1 u b z I t a G l u d G V y Z 3 J 1 b m Q v U X V l b G x l L n t D b 2 x 1 b W 4 x M C w 5 f S Z x d W 9 0 O y w m c X V v d D t T Z W N 0 a W 9 u M S 9 1 d W c t M D I t b m 8 y L W h p b n R l c m d y d W 5 k L 1 F 1 Z W x s Z S 5 7 Q 2 9 s d W 1 u M T E s M T B 9 J n F 1 b 3 Q 7 L C Z x d W 9 0 O 1 N l Y 3 R p b 2 4 x L 3 V 1 Z y 0 w M i 1 u b z I t a G l u d G V y Z 3 J 1 b m Q v U X V l b G x l L n t D b 2 x 1 b W 4 x M i w x M X 0 m c X V v d D s s J n F 1 b 3 Q 7 U 2 V j d G l v b j E v d X V n L T A y L W 5 v M i 1 o a W 5 0 Z X J n c n V u Z C 9 R d W V s b G U u e 0 N v b H V t b j E z L D E y f S Z x d W 9 0 O y w m c X V v d D t T Z W N 0 a W 9 u M S 9 1 d W c t M D I t b m 8 y L W h p b n R l c m d y d W 5 k L 1 F 1 Z W x s Z S 5 7 Q 2 9 s d W 1 u M T Q s M T N 9 J n F 1 b 3 Q 7 L C Z x d W 9 0 O 1 N l Y 3 R p b 2 4 x L 3 V 1 Z y 0 w M i 1 u b z I t a G l u d G V y Z 3 J 1 b m Q v U X V l b G x l L n t D b 2 x 1 b W 4 x N S w x N H 0 m c X V v d D s s J n F 1 b 3 Q 7 U 2 V j d G l v b j E v d X V n L T A y L W 5 v M i 1 o a W 5 0 Z X J n c n V u Z C 9 R d W V s b G U u e 0 N v b H V t b j E 2 L D E 1 f S Z x d W 9 0 O y w m c X V v d D t T Z W N 0 a W 9 u M S 9 1 d W c t M D I t b m 8 y L W h p b n R l c m d y d W 5 k L 1 F 1 Z W x s Z S 5 7 Q 2 9 s d W 1 u M T c s M T Z 9 J n F 1 b 3 Q 7 L C Z x d W 9 0 O 1 N l Y 3 R p b 2 4 x L 3 V 1 Z y 0 w M i 1 u b z I t a G l u d G V y Z 3 J 1 b m Q v U X V l b G x l L n t D b 2 x 1 b W 4 x O C w x N 3 0 m c X V v d D s s J n F 1 b 3 Q 7 U 2 V j d G l v b j E v d X V n L T A y L W 5 v M i 1 o a W 5 0 Z X J n c n V u Z C 9 R d W V s b G U u e 0 N v b H V t b j E 5 L D E 4 f S Z x d W 9 0 O y w m c X V v d D t T Z W N 0 a W 9 u M S 9 1 d W c t M D I t b m 8 y L W h p b n R l c m d y d W 5 k L 1 F 1 Z W x s Z S 5 7 Q 2 9 s d W 1 u M j A s M T l 9 J n F 1 b 3 Q 7 L C Z x d W 9 0 O 1 N l Y 3 R p b 2 4 x L 3 V 1 Z y 0 w M i 1 u b z I t a G l u d G V y Z 3 J 1 b m Q v U X V l b G x l L n t D b 2 x 1 b W 4 y M S w y M H 0 m c X V v d D s s J n F 1 b 3 Q 7 U 2 V j d G l v b j E v d X V n L T A y L W 5 v M i 1 o a W 5 0 Z X J n c n V u Z C 9 R d W V s b G U u e 0 N v b H V t b j I y L D I x f S Z x d W 9 0 O y w m c X V v d D t T Z W N 0 a W 9 u M S 9 1 d W c t M D I t b m 8 y L W h p b n R l c m d y d W 5 k L 1 F 1 Z W x s Z S 5 7 Q 2 9 s d W 1 u M j M s M j J 9 J n F 1 b 3 Q 7 L C Z x d W 9 0 O 1 N l Y 3 R p b 2 4 x L 3 V 1 Z y 0 w M i 1 u b z I t a G l u d G V y Z 3 J 1 b m Q v U X V l b G x l L n t D b 2 x 1 b W 4 y N C w y M 3 0 m c X V v d D s s J n F 1 b 3 Q 7 U 2 V j d G l v b j E v d X V n L T A y L W 5 v M i 1 o a W 5 0 Z X J n c n V u Z C 9 R d W V s b G U u e 0 N v b H V t b j I 1 L D I 0 f S Z x d W 9 0 O y w m c X V v d D t T Z W N 0 a W 9 u M S 9 1 d W c t M D I t b m 8 y L W h p b n R l c m d y d W 5 k L 1 F 1 Z W x s Z S 5 7 Q 2 9 s d W 1 u M j Y s M j V 9 J n F 1 b 3 Q 7 L C Z x d W 9 0 O 1 N l Y 3 R p b 2 4 x L 3 V 1 Z y 0 w M i 1 u b z I t a G l u d G V y Z 3 J 1 b m Q v U X V l b G x l L n t D b 2 x 1 b W 4 y N y w y N n 0 m c X V v d D s s J n F 1 b 3 Q 7 U 2 V j d G l v b j E v d X V n L T A y L W 5 v M i 1 o a W 5 0 Z X J n c n V u Z C 9 R d W V s b G U u e 0 N v b H V t b j I 4 L D I 3 f S Z x d W 9 0 O y w m c X V v d D t T Z W N 0 a W 9 u M S 9 1 d W c t M D I t b m 8 y L W h p b n R l c m d y d W 5 k L 1 F 1 Z W x s Z S 5 7 Q 2 9 s d W 1 u M j k s M j h 9 J n F 1 b 3 Q 7 L C Z x d W 9 0 O 1 N l Y 3 R p b 2 4 x L 3 V 1 Z y 0 w M i 1 u b z I t a G l u d G V y Z 3 J 1 b m Q v U X V l b G x l L n t D b 2 x 1 b W 4 z M C w y O X 0 m c X V v d D s s J n F 1 b 3 Q 7 U 2 V j d G l v b j E v d X V n L T A y L W 5 v M i 1 o a W 5 0 Z X J n c n V u Z C 9 R d W V s b G U u e 0 N v b H V t b j M x L D M w f S Z x d W 9 0 O y w m c X V v d D t T Z W N 0 a W 9 u M S 9 1 d W c t M D I t b m 8 y L W h p b n R l c m d y d W 5 k L 1 F 1 Z W x s Z S 5 7 Q 2 9 s d W 1 u M z I s M z F 9 J n F 1 b 3 Q 7 L C Z x d W 9 0 O 1 N l Y 3 R p b 2 4 x L 3 V 1 Z y 0 w M i 1 u b z I t a G l u d G V y Z 3 J 1 b m Q v U X V l b G x l L n t D b 2 x 1 b W 4 z M y w z M n 0 m c X V v d D s s J n F 1 b 3 Q 7 U 2 V j d G l v b j E v d X V n L T A y L W 5 v M i 1 o a W 5 0 Z X J n c n V u Z C 9 R d W V s b G U u e 0 N v b H V t b j M 0 L D M z f S Z x d W 9 0 O 1 0 s J n F 1 b 3 Q 7 Q 2 9 s d W 1 u Q 2 9 1 b n Q m c X V v d D s 6 M z Q s J n F 1 b 3 Q 7 S 2 V 5 Q 2 9 s d W 1 u T m F t Z X M m c X V v d D s 6 W 1 0 s J n F 1 b 3 Q 7 Q 2 9 s d W 1 u S W R l b n R p d G l l c y Z x d W 9 0 O z p b J n F 1 b 3 Q 7 U 2 V j d G l v b j E v d X V n L T A y L W 5 v M i 1 o a W 5 0 Z X J n c n V u Z C 9 H Z c O k b m R l c n R l c i B U e X A u e y w w f S Z x d W 9 0 O y w m c X V v d D t T Z W N 0 a W 9 u M S 9 1 d W c t M D I t b m 8 y L W h p b n R l c m d y d W 5 k L 1 F 1 Z W x s Z S 5 7 Q 2 9 s d W 1 u M i w x f S Z x d W 9 0 O y w m c X V v d D t T Z W N 0 a W 9 u M S 9 1 d W c t M D I t b m 8 y L W h p b n R l c m d y d W 5 k L 1 F 1 Z W x s Z S 5 7 Q 2 9 s d W 1 u M y w y f S Z x d W 9 0 O y w m c X V v d D t T Z W N 0 a W 9 u M S 9 1 d W c t M D I t b m 8 y L W h p b n R l c m d y d W 5 k L 1 F 1 Z W x s Z S 5 7 Q 2 9 s d W 1 u N C w z f S Z x d W 9 0 O y w m c X V v d D t T Z W N 0 a W 9 u M S 9 1 d W c t M D I t b m 8 y L W h p b n R l c m d y d W 5 k L 1 F 1 Z W x s Z S 5 7 Q 2 9 s d W 1 u N S w 0 f S Z x d W 9 0 O y w m c X V v d D t T Z W N 0 a W 9 u M S 9 1 d W c t M D I t b m 8 y L W h p b n R l c m d y d W 5 k L 1 F 1 Z W x s Z S 5 7 Q 2 9 s d W 1 u N i w 1 f S Z x d W 9 0 O y w m c X V v d D t T Z W N 0 a W 9 u M S 9 1 d W c t M D I t b m 8 y L W h p b n R l c m d y d W 5 k L 1 F 1 Z W x s Z S 5 7 Q 2 9 s d W 1 u N y w 2 f S Z x d W 9 0 O y w m c X V v d D t T Z W N 0 a W 9 u M S 9 1 d W c t M D I t b m 8 y L W h p b n R l c m d y d W 5 k L 1 F 1 Z W x s Z S 5 7 Q 2 9 s d W 1 u O C w 3 f S Z x d W 9 0 O y w m c X V v d D t T Z W N 0 a W 9 u M S 9 1 d W c t M D I t b m 8 y L W h p b n R l c m d y d W 5 k L 1 F 1 Z W x s Z S 5 7 Q 2 9 s d W 1 u O S w 4 f S Z x d W 9 0 O y w m c X V v d D t T Z W N 0 a W 9 u M S 9 1 d W c t M D I t b m 8 y L W h p b n R l c m d y d W 5 k L 1 F 1 Z W x s Z S 5 7 Q 2 9 s d W 1 u M T A s O X 0 m c X V v d D s s J n F 1 b 3 Q 7 U 2 V j d G l v b j E v d X V n L T A y L W 5 v M i 1 o a W 5 0 Z X J n c n V u Z C 9 R d W V s b G U u e 0 N v b H V t b j E x L D E w f S Z x d W 9 0 O y w m c X V v d D t T Z W N 0 a W 9 u M S 9 1 d W c t M D I t b m 8 y L W h p b n R l c m d y d W 5 k L 1 F 1 Z W x s Z S 5 7 Q 2 9 s d W 1 u M T I s M T F 9 J n F 1 b 3 Q 7 L C Z x d W 9 0 O 1 N l Y 3 R p b 2 4 x L 3 V 1 Z y 0 w M i 1 u b z I t a G l u d G V y Z 3 J 1 b m Q v U X V l b G x l L n t D b 2 x 1 b W 4 x M y w x M n 0 m c X V v d D s s J n F 1 b 3 Q 7 U 2 V j d G l v b j E v d X V n L T A y L W 5 v M i 1 o a W 5 0 Z X J n c n V u Z C 9 R d W V s b G U u e 0 N v b H V t b j E 0 L D E z f S Z x d W 9 0 O y w m c X V v d D t T Z W N 0 a W 9 u M S 9 1 d W c t M D I t b m 8 y L W h p b n R l c m d y d W 5 k L 1 F 1 Z W x s Z S 5 7 Q 2 9 s d W 1 u M T U s M T R 9 J n F 1 b 3 Q 7 L C Z x d W 9 0 O 1 N l Y 3 R p b 2 4 x L 3 V 1 Z y 0 w M i 1 u b z I t a G l u d G V y Z 3 J 1 b m Q v U X V l b G x l L n t D b 2 x 1 b W 4 x N i w x N X 0 m c X V v d D s s J n F 1 b 3 Q 7 U 2 V j d G l v b j E v d X V n L T A y L W 5 v M i 1 o a W 5 0 Z X J n c n V u Z C 9 R d W V s b G U u e 0 N v b H V t b j E 3 L D E 2 f S Z x d W 9 0 O y w m c X V v d D t T Z W N 0 a W 9 u M S 9 1 d W c t M D I t b m 8 y L W h p b n R l c m d y d W 5 k L 1 F 1 Z W x s Z S 5 7 Q 2 9 s d W 1 u M T g s M T d 9 J n F 1 b 3 Q 7 L C Z x d W 9 0 O 1 N l Y 3 R p b 2 4 x L 3 V 1 Z y 0 w M i 1 u b z I t a G l u d G V y Z 3 J 1 b m Q v U X V l b G x l L n t D b 2 x 1 b W 4 x O S w x O H 0 m c X V v d D s s J n F 1 b 3 Q 7 U 2 V j d G l v b j E v d X V n L T A y L W 5 v M i 1 o a W 5 0 Z X J n c n V u Z C 9 R d W V s b G U u e 0 N v b H V t b j I w L D E 5 f S Z x d W 9 0 O y w m c X V v d D t T Z W N 0 a W 9 u M S 9 1 d W c t M D I t b m 8 y L W h p b n R l c m d y d W 5 k L 1 F 1 Z W x s Z S 5 7 Q 2 9 s d W 1 u M j E s M j B 9 J n F 1 b 3 Q 7 L C Z x d W 9 0 O 1 N l Y 3 R p b 2 4 x L 3 V 1 Z y 0 w M i 1 u b z I t a G l u d G V y Z 3 J 1 b m Q v U X V l b G x l L n t D b 2 x 1 b W 4 y M i w y M X 0 m c X V v d D s s J n F 1 b 3 Q 7 U 2 V j d G l v b j E v d X V n L T A y L W 5 v M i 1 o a W 5 0 Z X J n c n V u Z C 9 R d W V s b G U u e 0 N v b H V t b j I z L D I y f S Z x d W 9 0 O y w m c X V v d D t T Z W N 0 a W 9 u M S 9 1 d W c t M D I t b m 8 y L W h p b n R l c m d y d W 5 k L 1 F 1 Z W x s Z S 5 7 Q 2 9 s d W 1 u M j Q s M j N 9 J n F 1 b 3 Q 7 L C Z x d W 9 0 O 1 N l Y 3 R p b 2 4 x L 3 V 1 Z y 0 w M i 1 u b z I t a G l u d G V y Z 3 J 1 b m Q v U X V l b G x l L n t D b 2 x 1 b W 4 y N S w y N H 0 m c X V v d D s s J n F 1 b 3 Q 7 U 2 V j d G l v b j E v d X V n L T A y L W 5 v M i 1 o a W 5 0 Z X J n c n V u Z C 9 R d W V s b G U u e 0 N v b H V t b j I 2 L D I 1 f S Z x d W 9 0 O y w m c X V v d D t T Z W N 0 a W 9 u M S 9 1 d W c t M D I t b m 8 y L W h p b n R l c m d y d W 5 k L 1 F 1 Z W x s Z S 5 7 Q 2 9 s d W 1 u M j c s M j Z 9 J n F 1 b 3 Q 7 L C Z x d W 9 0 O 1 N l Y 3 R p b 2 4 x L 3 V 1 Z y 0 w M i 1 u b z I t a G l u d G V y Z 3 J 1 b m Q v U X V l b G x l L n t D b 2 x 1 b W 4 y O C w y N 3 0 m c X V v d D s s J n F 1 b 3 Q 7 U 2 V j d G l v b j E v d X V n L T A y L W 5 v M i 1 o a W 5 0 Z X J n c n V u Z C 9 R d W V s b G U u e 0 N v b H V t b j I 5 L D I 4 f S Z x d W 9 0 O y w m c X V v d D t T Z W N 0 a W 9 u M S 9 1 d W c t M D I t b m 8 y L W h p b n R l c m d y d W 5 k L 1 F 1 Z W x s Z S 5 7 Q 2 9 s d W 1 u M z A s M j l 9 J n F 1 b 3 Q 7 L C Z x d W 9 0 O 1 N l Y 3 R p b 2 4 x L 3 V 1 Z y 0 w M i 1 u b z I t a G l u d G V y Z 3 J 1 b m Q v U X V l b G x l L n t D b 2 x 1 b W 4 z M S w z M H 0 m c X V v d D s s J n F 1 b 3 Q 7 U 2 V j d G l v b j E v d X V n L T A y L W 5 v M i 1 o a W 5 0 Z X J n c n V u Z C 9 R d W V s b G U u e 0 N v b H V t b j M y L D M x f S Z x d W 9 0 O y w m c X V v d D t T Z W N 0 a W 9 u M S 9 1 d W c t M D I t b m 8 y L W h p b n R l c m d y d W 5 k L 1 F 1 Z W x s Z S 5 7 Q 2 9 s d W 1 u M z M s M z J 9 J n F 1 b 3 Q 7 L C Z x d W 9 0 O 1 N l Y 3 R p b 2 4 x L 3 V 1 Z y 0 w M i 1 u b z I t a G l u d G V y Z 3 J 1 b m Q v U X V l b G x l L n t D b 2 x 1 b W 4 z N C w z M 3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d X V n L T A y L W 5 v M i 1 o a W 5 0 Z X J n c n V u Z C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d W c t M D I t b m 8 y L W h p b n R l c m d y d W 5 k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1 Z y 0 w M i 1 u b z I t a G l u d G V y Z 3 J 1 b m Q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X V n L T A 3 L W Z l a W 5 z d G F 1 Y m V t a X N z a W 9 u Z W 4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d X V n X z A 3 X 2 Z l a W 5 z d G F 1 Y m V t a X N z a W 9 u Z W 4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G Z W l u c 3 R h d W J l b W l z c 2 l v b m V u I i A v P j x F b n R y e S B U e X B l P S J S Z W N v d m V y e V R h c m d l d E N v b H V t b i I g V m F s d W U 9 I m w x I i A v P j x F b n R y e S B U e X B l P S J S Z W N v d m V y e V R h c m d l d F J v d y I g V m F s d W U 9 I m w y M C I g L z 4 8 R W 5 0 c n k g V H l w Z T 0 i R m l s b E V y c m 9 y Q 2 9 1 b n Q i I F Z h b H V l P S J s M C I g L z 4 8 R W 5 0 c n k g V H l w Z T 0 i R m l s b E x h c 3 R V c G R h d G V k I i B W Y W x 1 Z T 0 i Z D I w M j M t M T E t M j h U M D k 6 M T c 6 N D U u M j M 2 O T Y 3 M F o i I C 8 + P E V u d H J 5 I F R 5 c G U 9 I k Z p b G x D b 2 x 1 b W 5 U e X B l c y I g V m F s d W U 9 I n N C Z 1 l H Q m d Z R 0 J n W U c i I C 8 + P E V u d H J 5 I F R 5 c G U 9 I k Z p b G x D b 2 x 1 b W 5 O Y W 1 l c y I g V m F s d W U 9 I n N b J n F 1 b 3 Q 7 Q 2 9 s d W 1 u M S Z x d W 9 0 O y w m c X V v d D t J b m R 1 c 3 R y a W U g I C B Q T T I u N S Z x d W 9 0 O y w m c X V v d D s g S 2 x l a W 5 m Z X V l c n V u Z 3 N h b m x h Z 2 V u I C A g U E 0 y L j U m c X V v d D s s J n F 1 b 3 Q 7 I F Z l c m t l a H I g I C B Q T T I u N S Z x d W 9 0 O y w m c X V v d D s g T G F u Z H d p c n R z Y 2 h h Z n Q g I C B Q T T I u N S Z x d W 9 0 O y w m c X V v d D s g S W 5 k d X N 0 c m l l I C A g U E 0 x M C Z x d W 9 0 O y w m c X V v d D s g S 2 x l a W 5 m Z X V l c n V u Z 3 N h b m x h Z 2 V u I C A g U E 0 x M C Z x d W 9 0 O y w m c X V v d D s g V m V y a 2 V o c i A g I F B N M T A m c X V v d D s s J n F 1 b 3 Q 7 I E x h b m R 3 a X J 0 c 2 N o Y W Z 0 I C A g U E 0 x M C Z x d W 9 0 O 1 0 i I C 8 + P E V u d H J 5 I F R 5 c G U 9 I k Z p b G x T d G F 0 d X M i I F Z h b H V l P S J z Q 2 9 t c G x l d G U i I C 8 + P E V u d H J 5 I F R 5 c G U 9 I l F 1 Z X J 5 S U Q i I F Z h b H V l P S J z Z G N l O W J j Y z g t Y j Z h Z C 0 0 O T E 0 L T g 1 Z T c t Z m Q z Z j Z m Y j J i O T M 1 I i A v P j x F b n R y e S B U e X B l P S J G a W x s R X J y b 3 J D b 2 R l I i B W Y W x 1 Z T 0 i c 1 V u a 2 5 v d 2 4 i I C 8 + P E V u d H J 5 I F R 5 c G U 9 I k Z p b G x D b 3 V u d C I g V m F s d W U 9 I m w 3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1 d W c t M D c t Z m V p b n N 0 Y X V i Z W 1 p c 3 N p b 2 5 l b i 9 H Z c O k b m R l c n R l c i B U e X A u e y w w f S Z x d W 9 0 O y w m c X V v d D t T Z W N 0 a W 9 u M S 9 1 d W c t M D c t Z m V p b n N 0 Y X V i Z W 1 p c 3 N p b 2 5 l b i 9 R d W V s b G U u e 0 N v b H V t b j I s M X 0 m c X V v d D s s J n F 1 b 3 Q 7 U 2 V j d G l v b j E v d X V n L T A 3 L W Z l a W 5 z d G F 1 Y m V t a X N z a W 9 u Z W 4 v U X V l b G x l L n t D b 2 x 1 b W 4 z L D J 9 J n F 1 b 3 Q 7 L C Z x d W 9 0 O 1 N l Y 3 R p b 2 4 x L 3 V 1 Z y 0 w N y 1 m Z W l u c 3 R h d W J l b W l z c 2 l v b m V u L 1 F 1 Z W x s Z S 5 7 Q 2 9 s d W 1 u N C w z f S Z x d W 9 0 O y w m c X V v d D t T Z W N 0 a W 9 u M S 9 1 d W c t M D c t Z m V p b n N 0 Y X V i Z W 1 p c 3 N p b 2 5 l b i 9 R d W V s b G U u e 0 N v b H V t b j U s N H 0 m c X V v d D s s J n F 1 b 3 Q 7 U 2 V j d G l v b j E v d X V n L T A 3 L W Z l a W 5 z d G F 1 Y m V t a X N z a W 9 u Z W 4 v U X V l b G x l L n t D b 2 x 1 b W 4 2 L D V 9 J n F 1 b 3 Q 7 L C Z x d W 9 0 O 1 N l Y 3 R p b 2 4 x L 3 V 1 Z y 0 w N y 1 m Z W l u c 3 R h d W J l b W l z c 2 l v b m V u L 1 F 1 Z W x s Z S 5 7 Q 2 9 s d W 1 u N y w 2 f S Z x d W 9 0 O y w m c X V v d D t T Z W N 0 a W 9 u M S 9 1 d W c t M D c t Z m V p b n N 0 Y X V i Z W 1 p c 3 N p b 2 5 l b i 9 R d W V s b G U u e 0 N v b H V t b j g s N 3 0 m c X V v d D s s J n F 1 b 3 Q 7 U 2 V j d G l v b j E v d X V n L T A 3 L W Z l a W 5 z d G F 1 Y m V t a X N z a W 9 u Z W 4 v U X V l b G x l L n t D b 2 x 1 b W 4 5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3 V 1 Z y 0 w N y 1 m Z W l u c 3 R h d W J l b W l z c 2 l v b m V u L 0 d l w 6 R u Z G V y d G V y I F R 5 c C 5 7 L D B 9 J n F 1 b 3 Q 7 L C Z x d W 9 0 O 1 N l Y 3 R p b 2 4 x L 3 V 1 Z y 0 w N y 1 m Z W l u c 3 R h d W J l b W l z c 2 l v b m V u L 1 F 1 Z W x s Z S 5 7 Q 2 9 s d W 1 u M i w x f S Z x d W 9 0 O y w m c X V v d D t T Z W N 0 a W 9 u M S 9 1 d W c t M D c t Z m V p b n N 0 Y X V i Z W 1 p c 3 N p b 2 5 l b i 9 R d W V s b G U u e 0 N v b H V t b j M s M n 0 m c X V v d D s s J n F 1 b 3 Q 7 U 2 V j d G l v b j E v d X V n L T A 3 L W Z l a W 5 z d G F 1 Y m V t a X N z a W 9 u Z W 4 v U X V l b G x l L n t D b 2 x 1 b W 4 0 L D N 9 J n F 1 b 3 Q 7 L C Z x d W 9 0 O 1 N l Y 3 R p b 2 4 x L 3 V 1 Z y 0 w N y 1 m Z W l u c 3 R h d W J l b W l z c 2 l v b m V u L 1 F 1 Z W x s Z S 5 7 Q 2 9 s d W 1 u N S w 0 f S Z x d W 9 0 O y w m c X V v d D t T Z W N 0 a W 9 u M S 9 1 d W c t M D c t Z m V p b n N 0 Y X V i Z W 1 p c 3 N p b 2 5 l b i 9 R d W V s b G U u e 0 N v b H V t b j Y s N X 0 m c X V v d D s s J n F 1 b 3 Q 7 U 2 V j d G l v b j E v d X V n L T A 3 L W Z l a W 5 z d G F 1 Y m V t a X N z a W 9 u Z W 4 v U X V l b G x l L n t D b 2 x 1 b W 4 3 L D Z 9 J n F 1 b 3 Q 7 L C Z x d W 9 0 O 1 N l Y 3 R p b 2 4 x L 3 V 1 Z y 0 w N y 1 m Z W l u c 3 R h d W J l b W l z c 2 l v b m V u L 1 F 1 Z W x s Z S 5 7 Q 2 9 s d W 1 u O C w 3 f S Z x d W 9 0 O y w m c X V v d D t T Z W N 0 a W 9 u M S 9 1 d W c t M D c t Z m V p b n N 0 Y X V i Z W 1 p c 3 N p b 2 5 l b i 9 R d W V s b G U u e 0 N v b H V t b j k s O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d X V n L T A 3 L W Z l a W 5 z d G F 1 Y m V t a X N z a W 9 u Z W 4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X V n L T A 3 L W Z l a W 5 z d G F 1 Y m V t a X N z a W 9 u Z W 4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X V n L T A 3 L W Z l a W 5 z d G F 1 Y m V t a X N z a W 9 u Z W 4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X V n L T A z L X B t e C 1 o a W 5 0 Z X J n c n V u Z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1 d W d f M D N f c G 1 4 X 2 h p b n R l c m d y d W 5 k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R m V p b n N 0 Y X V i a 2 9 u e i 4 g U E 0 g M i 4 1 I D E w I i A v P j x F b n R y e S B U e X B l P S J S Z W N v d m V y e V R h c m d l d E N v b H V t b i I g V m F s d W U 9 I m w x I i A v P j x F b n R y e S B U e X B l P S J S Z W N v d m V y e V R h c m d l d F J v d y I g V m F s d W U 9 I m w y M C I g L z 4 8 R W 5 0 c n k g V H l w Z T 0 i R m l s b E V y c m 9 y Q 2 9 1 b n Q i I F Z h b H V l P S J s M C I g L z 4 8 R W 5 0 c n k g V H l w Z T 0 i R m l s b E x h c 3 R V c G R h d G V k I i B W Y W x 1 Z T 0 i Z D I w M j M t M T E t M j h U M D k 6 M T c 6 N D U u M T U 3 M T g x N F o i I C 8 + P E V u d H J 5 I F R 5 c G U 9 I k Z p b G x D b 2 x 1 b W 5 U e X B l c y I g V m F s d W U 9 I n N C Z 1 l H Q m d Z R 0 J n W U d C Z 1 l H Q m d Z R 0 J n W U d C Z 1 l H Q m d Z P S I g L z 4 8 R W 5 0 c n k g V H l w Z T 0 i R m l s b E N v b H V t b k 5 h b W V z I i B W Y W x 1 Z T 0 i c 1 s m c X V v d D t D b 2 x 1 b W 4 x J n F 1 b 3 Q 7 L C Z x d W 9 0 O z I w M D E m c X V v d D s s J n F 1 b 3 Q 7 M j A w M i Z x d W 9 0 O y w m c X V v d D s y M D A z J n F 1 b 3 Q 7 L C Z x d W 9 0 O z I w M D Q m c X V v d D s s J n F 1 b 3 Q 7 M j A w N S Z x d W 9 0 O y w m c X V v d D s y M D A 2 J n F 1 b 3 Q 7 L C Z x d W 9 0 O z I w M D c m c X V v d D s s J n F 1 b 3 Q 7 M j A w O C Z x d W 9 0 O y w m c X V v d D s y M D A 5 J n F 1 b 3 Q 7 L C Z x d W 9 0 O z I w M T A m c X V v d D s s J n F 1 b 3 Q 7 M j A x M S Z x d W 9 0 O y w m c X V v d D s y M D E y J n F 1 b 3 Q 7 L C Z x d W 9 0 O z I w M T M m c X V v d D s s J n F 1 b 3 Q 7 M j A x N C Z x d W 9 0 O y w m c X V v d D s y M D E 1 J n F 1 b 3 Q 7 L C Z x d W 9 0 O z I w M T Y m c X V v d D s s J n F 1 b 3 Q 7 M j A x N y Z x d W 9 0 O y w m c X V v d D s y M D E 4 J n F 1 b 3 Q 7 L C Z x d W 9 0 O z I w M T k m c X V v d D s s J n F 1 b 3 Q 7 M j A y M C Z x d W 9 0 O y w m c X V v d D s y M D I x J n F 1 b 3 Q 7 L C Z x d W 9 0 O z I w M j I m c X V v d D t d I i A v P j x F b n R y e S B U e X B l P S J G a W x s U 3 R h d H V z I i B W Y W x 1 Z T 0 i c 0 N v b X B s Z X R l I i A v P j x F b n R y e S B U e X B l P S J R d W V y e U l E I i B W Y W x 1 Z T 0 i c z d j Z G Q 1 M D A 1 L W Y w N W U t N D V l M C 1 h Z T Q 4 L T d l Z D I y N D g 4 Y z E 0 N y I g L z 4 8 R W 5 0 c n k g V H l w Z T 0 i R m l s b E V y c m 9 y Q 2 9 k Z S I g V m F s d W U 9 I n N V b m t u b 3 d u I i A v P j x F b n R y e S B U e X B l P S J G a W x s Q 2 9 1 b n Q i I F Z h b H V l P S J s M i I g L z 4 8 R W 5 0 c n k g V H l w Z T 0 i U m V s Y X R p b 2 5 z a G l w S W 5 m b 0 N v b n R h a W 5 l c i I g V m F s d W U 9 I n N 7 J n F 1 b 3 Q 7 Y 2 9 s d W 1 u Q 2 9 1 b n Q m c X V v d D s 6 M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V 1 Z y 0 w M y 1 w b X g t a G l u d G V y Z 3 J 1 b m Q v R 2 X D p G 5 k Z X J 0 Z X I g V H l w L n s s M H 0 m c X V v d D s s J n F 1 b 3 Q 7 U 2 V j d G l v b j E v d X V n L T A z L X B t e C 1 o a W 5 0 Z X J n c n V u Z C 9 R d W V s b G U u e 0 N v b H V t b j I s M X 0 m c X V v d D s s J n F 1 b 3 Q 7 U 2 V j d G l v b j E v d X V n L T A z L X B t e C 1 o a W 5 0 Z X J n c n V u Z C 9 R d W V s b G U u e 0 N v b H V t b j M s M n 0 m c X V v d D s s J n F 1 b 3 Q 7 U 2 V j d G l v b j E v d X V n L T A z L X B t e C 1 o a W 5 0 Z X J n c n V u Z C 9 R d W V s b G U u e 0 N v b H V t b j Q s M 3 0 m c X V v d D s s J n F 1 b 3 Q 7 U 2 V j d G l v b j E v d X V n L T A z L X B t e C 1 o a W 5 0 Z X J n c n V u Z C 9 R d W V s b G U u e 0 N v b H V t b j U s N H 0 m c X V v d D s s J n F 1 b 3 Q 7 U 2 V j d G l v b j E v d X V n L T A z L X B t e C 1 o a W 5 0 Z X J n c n V u Z C 9 R d W V s b G U u e 0 N v b H V t b j Y s N X 0 m c X V v d D s s J n F 1 b 3 Q 7 U 2 V j d G l v b j E v d X V n L T A z L X B t e C 1 o a W 5 0 Z X J n c n V u Z C 9 R d W V s b G U u e 0 N v b H V t b j c s N n 0 m c X V v d D s s J n F 1 b 3 Q 7 U 2 V j d G l v b j E v d X V n L T A z L X B t e C 1 o a W 5 0 Z X J n c n V u Z C 9 R d W V s b G U u e 0 N v b H V t b j g s N 3 0 m c X V v d D s s J n F 1 b 3 Q 7 U 2 V j d G l v b j E v d X V n L T A z L X B t e C 1 o a W 5 0 Z X J n c n V u Z C 9 R d W V s b G U u e 0 N v b H V t b j k s O H 0 m c X V v d D s s J n F 1 b 3 Q 7 U 2 V j d G l v b j E v d X V n L T A z L X B t e C 1 o a W 5 0 Z X J n c n V u Z C 9 R d W V s b G U u e 0 N v b H V t b j E w L D l 9 J n F 1 b 3 Q 7 L C Z x d W 9 0 O 1 N l Y 3 R p b 2 4 x L 3 V 1 Z y 0 w M y 1 w b X g t a G l u d G V y Z 3 J 1 b m Q v U X V l b G x l L n t D b 2 x 1 b W 4 x M S w x M H 0 m c X V v d D s s J n F 1 b 3 Q 7 U 2 V j d G l v b j E v d X V n L T A z L X B t e C 1 o a W 5 0 Z X J n c n V u Z C 9 R d W V s b G U u e 0 N v b H V t b j E y L D E x f S Z x d W 9 0 O y w m c X V v d D t T Z W N 0 a W 9 u M S 9 1 d W c t M D M t c G 1 4 L W h p b n R l c m d y d W 5 k L 1 F 1 Z W x s Z S 5 7 Q 2 9 s d W 1 u M T M s M T J 9 J n F 1 b 3 Q 7 L C Z x d W 9 0 O 1 N l Y 3 R p b 2 4 x L 3 V 1 Z y 0 w M y 1 w b X g t a G l u d G V y Z 3 J 1 b m Q v U X V l b G x l L n t D b 2 x 1 b W 4 x N C w x M 3 0 m c X V v d D s s J n F 1 b 3 Q 7 U 2 V j d G l v b j E v d X V n L T A z L X B t e C 1 o a W 5 0 Z X J n c n V u Z C 9 R d W V s b G U u e 0 N v b H V t b j E 1 L D E 0 f S Z x d W 9 0 O y w m c X V v d D t T Z W N 0 a W 9 u M S 9 1 d W c t M D M t c G 1 4 L W h p b n R l c m d y d W 5 k L 1 F 1 Z W x s Z S 5 7 Q 2 9 s d W 1 u M T Y s M T V 9 J n F 1 b 3 Q 7 L C Z x d W 9 0 O 1 N l Y 3 R p b 2 4 x L 3 V 1 Z y 0 w M y 1 w b X g t a G l u d G V y Z 3 J 1 b m Q v U X V l b G x l L n t D b 2 x 1 b W 4 x N y w x N n 0 m c X V v d D s s J n F 1 b 3 Q 7 U 2 V j d G l v b j E v d X V n L T A z L X B t e C 1 o a W 5 0 Z X J n c n V u Z C 9 R d W V s b G U u e 0 N v b H V t b j E 4 L D E 3 f S Z x d W 9 0 O y w m c X V v d D t T Z W N 0 a W 9 u M S 9 1 d W c t M D M t c G 1 4 L W h p b n R l c m d y d W 5 k L 1 F 1 Z W x s Z S 5 7 Q 2 9 s d W 1 u M T k s M T h 9 J n F 1 b 3 Q 7 L C Z x d W 9 0 O 1 N l Y 3 R p b 2 4 x L 3 V 1 Z y 0 w M y 1 w b X g t a G l u d G V y Z 3 J 1 b m Q v U X V l b G x l L n t D b 2 x 1 b W 4 y M C w x O X 0 m c X V v d D s s J n F 1 b 3 Q 7 U 2 V j d G l v b j E v d X V n L T A z L X B t e C 1 o a W 5 0 Z X J n c n V u Z C 9 R d W V s b G U u e 0 N v b H V t b j I x L D I w f S Z x d W 9 0 O y w m c X V v d D t T Z W N 0 a W 9 u M S 9 1 d W c t M D M t c G 1 4 L W h p b n R l c m d y d W 5 k L 1 F 1 Z W x s Z S 5 7 Q 2 9 s d W 1 u M j I s M j F 9 J n F 1 b 3 Q 7 L C Z x d W 9 0 O 1 N l Y 3 R p b 2 4 x L 3 V 1 Z y 0 w M y 1 w b X g t a G l u d G V y Z 3 J 1 b m Q v U X V l b G x l L n t D b 2 x 1 b W 4 y M y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3 V 1 Z y 0 w M y 1 w b X g t a G l u d G V y Z 3 J 1 b m Q v R 2 X D p G 5 k Z X J 0 Z X I g V H l w L n s s M H 0 m c X V v d D s s J n F 1 b 3 Q 7 U 2 V j d G l v b j E v d X V n L T A z L X B t e C 1 o a W 5 0 Z X J n c n V u Z C 9 R d W V s b G U u e 0 N v b H V t b j I s M X 0 m c X V v d D s s J n F 1 b 3 Q 7 U 2 V j d G l v b j E v d X V n L T A z L X B t e C 1 o a W 5 0 Z X J n c n V u Z C 9 R d W V s b G U u e 0 N v b H V t b j M s M n 0 m c X V v d D s s J n F 1 b 3 Q 7 U 2 V j d G l v b j E v d X V n L T A z L X B t e C 1 o a W 5 0 Z X J n c n V u Z C 9 R d W V s b G U u e 0 N v b H V t b j Q s M 3 0 m c X V v d D s s J n F 1 b 3 Q 7 U 2 V j d G l v b j E v d X V n L T A z L X B t e C 1 o a W 5 0 Z X J n c n V u Z C 9 R d W V s b G U u e 0 N v b H V t b j U s N H 0 m c X V v d D s s J n F 1 b 3 Q 7 U 2 V j d G l v b j E v d X V n L T A z L X B t e C 1 o a W 5 0 Z X J n c n V u Z C 9 R d W V s b G U u e 0 N v b H V t b j Y s N X 0 m c X V v d D s s J n F 1 b 3 Q 7 U 2 V j d G l v b j E v d X V n L T A z L X B t e C 1 o a W 5 0 Z X J n c n V u Z C 9 R d W V s b G U u e 0 N v b H V t b j c s N n 0 m c X V v d D s s J n F 1 b 3 Q 7 U 2 V j d G l v b j E v d X V n L T A z L X B t e C 1 o a W 5 0 Z X J n c n V u Z C 9 R d W V s b G U u e 0 N v b H V t b j g s N 3 0 m c X V v d D s s J n F 1 b 3 Q 7 U 2 V j d G l v b j E v d X V n L T A z L X B t e C 1 o a W 5 0 Z X J n c n V u Z C 9 R d W V s b G U u e 0 N v b H V t b j k s O H 0 m c X V v d D s s J n F 1 b 3 Q 7 U 2 V j d G l v b j E v d X V n L T A z L X B t e C 1 o a W 5 0 Z X J n c n V u Z C 9 R d W V s b G U u e 0 N v b H V t b j E w L D l 9 J n F 1 b 3 Q 7 L C Z x d W 9 0 O 1 N l Y 3 R p b 2 4 x L 3 V 1 Z y 0 w M y 1 w b X g t a G l u d G V y Z 3 J 1 b m Q v U X V l b G x l L n t D b 2 x 1 b W 4 x M S w x M H 0 m c X V v d D s s J n F 1 b 3 Q 7 U 2 V j d G l v b j E v d X V n L T A z L X B t e C 1 o a W 5 0 Z X J n c n V u Z C 9 R d W V s b G U u e 0 N v b H V t b j E y L D E x f S Z x d W 9 0 O y w m c X V v d D t T Z W N 0 a W 9 u M S 9 1 d W c t M D M t c G 1 4 L W h p b n R l c m d y d W 5 k L 1 F 1 Z W x s Z S 5 7 Q 2 9 s d W 1 u M T M s M T J 9 J n F 1 b 3 Q 7 L C Z x d W 9 0 O 1 N l Y 3 R p b 2 4 x L 3 V 1 Z y 0 w M y 1 w b X g t a G l u d G V y Z 3 J 1 b m Q v U X V l b G x l L n t D b 2 x 1 b W 4 x N C w x M 3 0 m c X V v d D s s J n F 1 b 3 Q 7 U 2 V j d G l v b j E v d X V n L T A z L X B t e C 1 o a W 5 0 Z X J n c n V u Z C 9 R d W V s b G U u e 0 N v b H V t b j E 1 L D E 0 f S Z x d W 9 0 O y w m c X V v d D t T Z W N 0 a W 9 u M S 9 1 d W c t M D M t c G 1 4 L W h p b n R l c m d y d W 5 k L 1 F 1 Z W x s Z S 5 7 Q 2 9 s d W 1 u M T Y s M T V 9 J n F 1 b 3 Q 7 L C Z x d W 9 0 O 1 N l Y 3 R p b 2 4 x L 3 V 1 Z y 0 w M y 1 w b X g t a G l u d G V y Z 3 J 1 b m Q v U X V l b G x l L n t D b 2 x 1 b W 4 x N y w x N n 0 m c X V v d D s s J n F 1 b 3 Q 7 U 2 V j d G l v b j E v d X V n L T A z L X B t e C 1 o a W 5 0 Z X J n c n V u Z C 9 R d W V s b G U u e 0 N v b H V t b j E 4 L D E 3 f S Z x d W 9 0 O y w m c X V v d D t T Z W N 0 a W 9 u M S 9 1 d W c t M D M t c G 1 4 L W h p b n R l c m d y d W 5 k L 1 F 1 Z W x s Z S 5 7 Q 2 9 s d W 1 u M T k s M T h 9 J n F 1 b 3 Q 7 L C Z x d W 9 0 O 1 N l Y 3 R p b 2 4 x L 3 V 1 Z y 0 w M y 1 w b X g t a G l u d G V y Z 3 J 1 b m Q v U X V l b G x l L n t D b 2 x 1 b W 4 y M C w x O X 0 m c X V v d D s s J n F 1 b 3 Q 7 U 2 V j d G l v b j E v d X V n L T A z L X B t e C 1 o a W 5 0 Z X J n c n V u Z C 9 R d W V s b G U u e 0 N v b H V t b j I x L D I w f S Z x d W 9 0 O y w m c X V v d D t T Z W N 0 a W 9 u M S 9 1 d W c t M D M t c G 1 4 L W h p b n R l c m d y d W 5 k L 1 F 1 Z W x s Z S 5 7 Q 2 9 s d W 1 u M j I s M j F 9 J n F 1 b 3 Q 7 L C Z x d W 9 0 O 1 N l Y 3 R p b 2 4 x L 3 V 1 Z y 0 w M y 1 w b X g t a G l u d G V y Z 3 J 1 b m Q v U X V l b G x l L n t D b 2 x 1 b W 4 y M y w y M n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d X V n L T A z L X B t e C 1 o a W 5 0 Z X J n c n V u Z C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d W c t M D M t c G 1 4 L W h p b n R l c m d y d W 5 k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1 Z y 0 w M y 1 w b X g t a G l u d G V y Z 3 J 1 b m Q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X V n L T A 0 L W 8 z L W h p b n R l c m d y d W 5 k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3 V 1 Z 1 8 w N F 9 v M 1 9 o a W 5 0 Z X J n c n V u Z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9 6 b 2 5 r b 2 5 6 Z W 5 0 c m F 0 a W 9 u I E h H I i A v P j x F b n R y e S B U e X B l P S J S Z W N v d m V y e V R h c m d l d E N v b H V t b i I g V m F s d W U 9 I m w x I i A v P j x F b n R y e S B U e X B l P S J S Z W N v d m V y e V R h c m d l d F J v d y I g V m F s d W U 9 I m w y M C I g L z 4 8 R W 5 0 c n k g V H l w Z T 0 i R m l s b E V y c m 9 y Q 2 9 1 b n Q i I F Z h b H V l P S J s M C I g L z 4 8 R W 5 0 c n k g V H l w Z T 0 i R m l s b E x h c 3 R V c G R h d G V k I i B W Y W x 1 Z T 0 i Z D I w M j M t M T E t M j h U M D k 6 M T c 6 N D c u N j I 2 N z A y N V o i I C 8 + P E V u d H J 5 I F R 5 c G U 9 I k Z p b G x D b 2 x 1 b W 5 U e X B l c y I g V m F s d W U 9 I n N C Z 1 l H Q m d Z R 0 J n W U d C Z 1 l H Q m d Z R 0 J n W U d C Z 1 l H Q m d Z R 0 J n W U d C Z 1 l H Q m d Z R 0 J n P T 0 i I C 8 + P E V u d H J 5 I F R 5 c G U 9 I k Z p b G x D b 2 x 1 b W 5 O Y W 1 l c y I g V m F s d W U 9 I n N b J n F 1 b 3 Q 7 Q 2 9 s d W 1 u M S Z x d W 9 0 O y w m c X V v d D s x O T k w J n F 1 b 3 Q 7 L C Z x d W 9 0 O z E 5 O T E m c X V v d D s s J n F 1 b 3 Q 7 M T k 5 M i Z x d W 9 0 O y w m c X V v d D s x O T k z J n F 1 b 3 Q 7 L C Z x d W 9 0 O z E 5 O T Q m c X V v d D s s J n F 1 b 3 Q 7 M T k 5 N S Z x d W 9 0 O y w m c X V v d D s x O T k 2 J n F 1 b 3 Q 7 L C Z x d W 9 0 O z E 5 O T c m c X V v d D s s J n F 1 b 3 Q 7 M T k 5 O C Z x d W 9 0 O y w m c X V v d D s x O T k 5 J n F 1 b 3 Q 7 L C Z x d W 9 0 O z I w M D A m c X V v d D s s J n F 1 b 3 Q 7 M j A w M S Z x d W 9 0 O y w m c X V v d D s y M D A y J n F 1 b 3 Q 7 L C Z x d W 9 0 O z I w M D M m c X V v d D s s J n F 1 b 3 Q 7 M j A w N C Z x d W 9 0 O y w m c X V v d D s y M D A 1 J n F 1 b 3 Q 7 L C Z x d W 9 0 O z I w M D Y m c X V v d D s s J n F 1 b 3 Q 7 M j A w N y Z x d W 9 0 O y w m c X V v d D s y M D A 4 J n F 1 b 3 Q 7 L C Z x d W 9 0 O z I w M D k m c X V v d D s s J n F 1 b 3 Q 7 M j A x M C Z x d W 9 0 O y w m c X V v d D s y M D E x J n F 1 b 3 Q 7 L C Z x d W 9 0 O z I w M T I m c X V v d D s s J n F 1 b 3 Q 7 M j A x M y Z x d W 9 0 O y w m c X V v d D s y M D E 0 J n F 1 b 3 Q 7 L C Z x d W 9 0 O z I w M T U m c X V v d D s s J n F 1 b 3 Q 7 M j A x N i Z x d W 9 0 O y w m c X V v d D s y M D E 3 J n F 1 b 3 Q 7 L C Z x d W 9 0 O z I w M T g m c X V v d D s s J n F 1 b 3 Q 7 M j A x O S Z x d W 9 0 O y w m c X V v d D s y M D I w J n F 1 b 3 Q 7 L C Z x d W 9 0 O z I w M j E m c X V v d D s s J n F 1 b 3 Q 7 M j A y M i Z x d W 9 0 O 1 0 i I C 8 + P E V u d H J 5 I F R 5 c G U 9 I k Z p b G x T d G F 0 d X M i I F Z h b H V l P S J z Q 2 9 t c G x l d G U i I C 8 + P E V u d H J 5 I F R 5 c G U 9 I l F 1 Z X J 5 S U Q i I F Z h b H V l P S J z M D Q 1 Y j N j O G M t Z j N j O S 0 0 M T R i L W F l Z D M t N z d i Y W I 0 N j A w Y T A z I i A v P j x F b n R y e S B U e X B l P S J G a W x s R X J y b 3 J D b 2 R l I i B W Y W x 1 Z T 0 i c 1 V u a 2 5 v d 2 4 i I C 8 + P E V u d H J 5 I F R 5 c G U 9 I k Z p b G x D b 3 V u d C I g V m F s d W U 9 I m w x I i A v P j x F b n R y e S B U e X B l P S J S Z W x h d G l v b n N o a X B J b m Z v Q 2 9 u d G F p b m V y I i B W Y W x 1 Z T 0 i c 3 s m c X V v d D t j b 2 x 1 b W 5 D b 3 V u d C Z x d W 9 0 O z o z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X V n L T A 0 L W 8 z L W h p b n R l c m d y d W 5 k L 0 d l w 6 R u Z G V y d G V y I F R 5 c C 5 7 L D B 9 J n F 1 b 3 Q 7 L C Z x d W 9 0 O 1 N l Y 3 R p b 2 4 x L 3 V 1 Z y 0 w N C 1 v M y 1 o a W 5 0 Z X J n c n V u Z C 9 R d W V s b G U u e 0 N v b H V t b j I s M X 0 m c X V v d D s s J n F 1 b 3 Q 7 U 2 V j d G l v b j E v d X V n L T A 0 L W 8 z L W h p b n R l c m d y d W 5 k L 1 F 1 Z W x s Z S 5 7 Q 2 9 s d W 1 u M y w y f S Z x d W 9 0 O y w m c X V v d D t T Z W N 0 a W 9 u M S 9 1 d W c t M D Q t b z M t a G l u d G V y Z 3 J 1 b m Q v U X V l b G x l L n t D b 2 x 1 b W 4 0 L D N 9 J n F 1 b 3 Q 7 L C Z x d W 9 0 O 1 N l Y 3 R p b 2 4 x L 3 V 1 Z y 0 w N C 1 v M y 1 o a W 5 0 Z X J n c n V u Z C 9 R d W V s b G U u e 0 N v b H V t b j U s N H 0 m c X V v d D s s J n F 1 b 3 Q 7 U 2 V j d G l v b j E v d X V n L T A 0 L W 8 z L W h p b n R l c m d y d W 5 k L 1 F 1 Z W x s Z S 5 7 Q 2 9 s d W 1 u N i w 1 f S Z x d W 9 0 O y w m c X V v d D t T Z W N 0 a W 9 u M S 9 1 d W c t M D Q t b z M t a G l u d G V y Z 3 J 1 b m Q v U X V l b G x l L n t D b 2 x 1 b W 4 3 L D Z 9 J n F 1 b 3 Q 7 L C Z x d W 9 0 O 1 N l Y 3 R p b 2 4 x L 3 V 1 Z y 0 w N C 1 v M y 1 o a W 5 0 Z X J n c n V u Z C 9 R d W V s b G U u e 0 N v b H V t b j g s N 3 0 m c X V v d D s s J n F 1 b 3 Q 7 U 2 V j d G l v b j E v d X V n L T A 0 L W 8 z L W h p b n R l c m d y d W 5 k L 1 F 1 Z W x s Z S 5 7 Q 2 9 s d W 1 u O S w 4 f S Z x d W 9 0 O y w m c X V v d D t T Z W N 0 a W 9 u M S 9 1 d W c t M D Q t b z M t a G l u d G V y Z 3 J 1 b m Q v U X V l b G x l L n t D b 2 x 1 b W 4 x M C w 5 f S Z x d W 9 0 O y w m c X V v d D t T Z W N 0 a W 9 u M S 9 1 d W c t M D Q t b z M t a G l u d G V y Z 3 J 1 b m Q v U X V l b G x l L n t D b 2 x 1 b W 4 x M S w x M H 0 m c X V v d D s s J n F 1 b 3 Q 7 U 2 V j d G l v b j E v d X V n L T A 0 L W 8 z L W h p b n R l c m d y d W 5 k L 1 F 1 Z W x s Z S 5 7 Q 2 9 s d W 1 u M T I s M T F 9 J n F 1 b 3 Q 7 L C Z x d W 9 0 O 1 N l Y 3 R p b 2 4 x L 3 V 1 Z y 0 w N C 1 v M y 1 o a W 5 0 Z X J n c n V u Z C 9 R d W V s b G U u e 0 N v b H V t b j E z L D E y f S Z x d W 9 0 O y w m c X V v d D t T Z W N 0 a W 9 u M S 9 1 d W c t M D Q t b z M t a G l u d G V y Z 3 J 1 b m Q v U X V l b G x l L n t D b 2 x 1 b W 4 x N C w x M 3 0 m c X V v d D s s J n F 1 b 3 Q 7 U 2 V j d G l v b j E v d X V n L T A 0 L W 8 z L W h p b n R l c m d y d W 5 k L 1 F 1 Z W x s Z S 5 7 Q 2 9 s d W 1 u M T U s M T R 9 J n F 1 b 3 Q 7 L C Z x d W 9 0 O 1 N l Y 3 R p b 2 4 x L 3 V 1 Z y 0 w N C 1 v M y 1 o a W 5 0 Z X J n c n V u Z C 9 R d W V s b G U u e 0 N v b H V t b j E 2 L D E 1 f S Z x d W 9 0 O y w m c X V v d D t T Z W N 0 a W 9 u M S 9 1 d W c t M D Q t b z M t a G l u d G V y Z 3 J 1 b m Q v U X V l b G x l L n t D b 2 x 1 b W 4 x N y w x N n 0 m c X V v d D s s J n F 1 b 3 Q 7 U 2 V j d G l v b j E v d X V n L T A 0 L W 8 z L W h p b n R l c m d y d W 5 k L 1 F 1 Z W x s Z S 5 7 Q 2 9 s d W 1 u M T g s M T d 9 J n F 1 b 3 Q 7 L C Z x d W 9 0 O 1 N l Y 3 R p b 2 4 x L 3 V 1 Z y 0 w N C 1 v M y 1 o a W 5 0 Z X J n c n V u Z C 9 R d W V s b G U u e 0 N v b H V t b j E 5 L D E 4 f S Z x d W 9 0 O y w m c X V v d D t T Z W N 0 a W 9 u M S 9 1 d W c t M D Q t b z M t a G l u d G V y Z 3 J 1 b m Q v U X V l b G x l L n t D b 2 x 1 b W 4 y M C w x O X 0 m c X V v d D s s J n F 1 b 3 Q 7 U 2 V j d G l v b j E v d X V n L T A 0 L W 8 z L W h p b n R l c m d y d W 5 k L 1 F 1 Z W x s Z S 5 7 Q 2 9 s d W 1 u M j E s M j B 9 J n F 1 b 3 Q 7 L C Z x d W 9 0 O 1 N l Y 3 R p b 2 4 x L 3 V 1 Z y 0 w N C 1 v M y 1 o a W 5 0 Z X J n c n V u Z C 9 R d W V s b G U u e 0 N v b H V t b j I y L D I x f S Z x d W 9 0 O y w m c X V v d D t T Z W N 0 a W 9 u M S 9 1 d W c t M D Q t b z M t a G l u d G V y Z 3 J 1 b m Q v U X V l b G x l L n t D b 2 x 1 b W 4 y M y w y M n 0 m c X V v d D s s J n F 1 b 3 Q 7 U 2 V j d G l v b j E v d X V n L T A 0 L W 8 z L W h p b n R l c m d y d W 5 k L 1 F 1 Z W x s Z S 5 7 Q 2 9 s d W 1 u M j Q s M j N 9 J n F 1 b 3 Q 7 L C Z x d W 9 0 O 1 N l Y 3 R p b 2 4 x L 3 V 1 Z y 0 w N C 1 v M y 1 o a W 5 0 Z X J n c n V u Z C 9 R d W V s b G U u e 0 N v b H V t b j I 1 L D I 0 f S Z x d W 9 0 O y w m c X V v d D t T Z W N 0 a W 9 u M S 9 1 d W c t M D Q t b z M t a G l u d G V y Z 3 J 1 b m Q v U X V l b G x l L n t D b 2 x 1 b W 4 y N i w y N X 0 m c X V v d D s s J n F 1 b 3 Q 7 U 2 V j d G l v b j E v d X V n L T A 0 L W 8 z L W h p b n R l c m d y d W 5 k L 1 F 1 Z W x s Z S 5 7 Q 2 9 s d W 1 u M j c s M j Z 9 J n F 1 b 3 Q 7 L C Z x d W 9 0 O 1 N l Y 3 R p b 2 4 x L 3 V 1 Z y 0 w N C 1 v M y 1 o a W 5 0 Z X J n c n V u Z C 9 R d W V s b G U u e 0 N v b H V t b j I 4 L D I 3 f S Z x d W 9 0 O y w m c X V v d D t T Z W N 0 a W 9 u M S 9 1 d W c t M D Q t b z M t a G l u d G V y Z 3 J 1 b m Q v U X V l b G x l L n t D b 2 x 1 b W 4 y O S w y O H 0 m c X V v d D s s J n F 1 b 3 Q 7 U 2 V j d G l v b j E v d X V n L T A 0 L W 8 z L W h p b n R l c m d y d W 5 k L 1 F 1 Z W x s Z S 5 7 Q 2 9 s d W 1 u M z A s M j l 9 J n F 1 b 3 Q 7 L C Z x d W 9 0 O 1 N l Y 3 R p b 2 4 x L 3 V 1 Z y 0 w N C 1 v M y 1 o a W 5 0 Z X J n c n V u Z C 9 R d W V s b G U u e 0 N v b H V t b j M x L D M w f S Z x d W 9 0 O y w m c X V v d D t T Z W N 0 a W 9 u M S 9 1 d W c t M D Q t b z M t a G l u d G V y Z 3 J 1 b m Q v U X V l b G x l L n t D b 2 x 1 b W 4 z M i w z M X 0 m c X V v d D s s J n F 1 b 3 Q 7 U 2 V j d G l v b j E v d X V n L T A 0 L W 8 z L W h p b n R l c m d y d W 5 k L 1 F 1 Z W x s Z S 5 7 Q 2 9 s d W 1 u M z M s M z J 9 J n F 1 b 3 Q 7 L C Z x d W 9 0 O 1 N l Y 3 R p b 2 4 x L 3 V 1 Z y 0 w N C 1 v M y 1 o a W 5 0 Z X J n c n V u Z C 9 R d W V s b G U u e 0 N v b H V t b j M 0 L D M z f S Z x d W 9 0 O 1 0 s J n F 1 b 3 Q 7 Q 2 9 s d W 1 u Q 2 9 1 b n Q m c X V v d D s 6 M z Q s J n F 1 b 3 Q 7 S 2 V 5 Q 2 9 s d W 1 u T m F t Z X M m c X V v d D s 6 W 1 0 s J n F 1 b 3 Q 7 Q 2 9 s d W 1 u S W R l b n R p d G l l c y Z x d W 9 0 O z p b J n F 1 b 3 Q 7 U 2 V j d G l v b j E v d X V n L T A 0 L W 8 z L W h p b n R l c m d y d W 5 k L 0 d l w 6 R u Z G V y d G V y I F R 5 c C 5 7 L D B 9 J n F 1 b 3 Q 7 L C Z x d W 9 0 O 1 N l Y 3 R p b 2 4 x L 3 V 1 Z y 0 w N C 1 v M y 1 o a W 5 0 Z X J n c n V u Z C 9 R d W V s b G U u e 0 N v b H V t b j I s M X 0 m c X V v d D s s J n F 1 b 3 Q 7 U 2 V j d G l v b j E v d X V n L T A 0 L W 8 z L W h p b n R l c m d y d W 5 k L 1 F 1 Z W x s Z S 5 7 Q 2 9 s d W 1 u M y w y f S Z x d W 9 0 O y w m c X V v d D t T Z W N 0 a W 9 u M S 9 1 d W c t M D Q t b z M t a G l u d G V y Z 3 J 1 b m Q v U X V l b G x l L n t D b 2 x 1 b W 4 0 L D N 9 J n F 1 b 3 Q 7 L C Z x d W 9 0 O 1 N l Y 3 R p b 2 4 x L 3 V 1 Z y 0 w N C 1 v M y 1 o a W 5 0 Z X J n c n V u Z C 9 R d W V s b G U u e 0 N v b H V t b j U s N H 0 m c X V v d D s s J n F 1 b 3 Q 7 U 2 V j d G l v b j E v d X V n L T A 0 L W 8 z L W h p b n R l c m d y d W 5 k L 1 F 1 Z W x s Z S 5 7 Q 2 9 s d W 1 u N i w 1 f S Z x d W 9 0 O y w m c X V v d D t T Z W N 0 a W 9 u M S 9 1 d W c t M D Q t b z M t a G l u d G V y Z 3 J 1 b m Q v U X V l b G x l L n t D b 2 x 1 b W 4 3 L D Z 9 J n F 1 b 3 Q 7 L C Z x d W 9 0 O 1 N l Y 3 R p b 2 4 x L 3 V 1 Z y 0 w N C 1 v M y 1 o a W 5 0 Z X J n c n V u Z C 9 R d W V s b G U u e 0 N v b H V t b j g s N 3 0 m c X V v d D s s J n F 1 b 3 Q 7 U 2 V j d G l v b j E v d X V n L T A 0 L W 8 z L W h p b n R l c m d y d W 5 k L 1 F 1 Z W x s Z S 5 7 Q 2 9 s d W 1 u O S w 4 f S Z x d W 9 0 O y w m c X V v d D t T Z W N 0 a W 9 u M S 9 1 d W c t M D Q t b z M t a G l u d G V y Z 3 J 1 b m Q v U X V l b G x l L n t D b 2 x 1 b W 4 x M C w 5 f S Z x d W 9 0 O y w m c X V v d D t T Z W N 0 a W 9 u M S 9 1 d W c t M D Q t b z M t a G l u d G V y Z 3 J 1 b m Q v U X V l b G x l L n t D b 2 x 1 b W 4 x M S w x M H 0 m c X V v d D s s J n F 1 b 3 Q 7 U 2 V j d G l v b j E v d X V n L T A 0 L W 8 z L W h p b n R l c m d y d W 5 k L 1 F 1 Z W x s Z S 5 7 Q 2 9 s d W 1 u M T I s M T F 9 J n F 1 b 3 Q 7 L C Z x d W 9 0 O 1 N l Y 3 R p b 2 4 x L 3 V 1 Z y 0 w N C 1 v M y 1 o a W 5 0 Z X J n c n V u Z C 9 R d W V s b G U u e 0 N v b H V t b j E z L D E y f S Z x d W 9 0 O y w m c X V v d D t T Z W N 0 a W 9 u M S 9 1 d W c t M D Q t b z M t a G l u d G V y Z 3 J 1 b m Q v U X V l b G x l L n t D b 2 x 1 b W 4 x N C w x M 3 0 m c X V v d D s s J n F 1 b 3 Q 7 U 2 V j d G l v b j E v d X V n L T A 0 L W 8 z L W h p b n R l c m d y d W 5 k L 1 F 1 Z W x s Z S 5 7 Q 2 9 s d W 1 u M T U s M T R 9 J n F 1 b 3 Q 7 L C Z x d W 9 0 O 1 N l Y 3 R p b 2 4 x L 3 V 1 Z y 0 w N C 1 v M y 1 o a W 5 0 Z X J n c n V u Z C 9 R d W V s b G U u e 0 N v b H V t b j E 2 L D E 1 f S Z x d W 9 0 O y w m c X V v d D t T Z W N 0 a W 9 u M S 9 1 d W c t M D Q t b z M t a G l u d G V y Z 3 J 1 b m Q v U X V l b G x l L n t D b 2 x 1 b W 4 x N y w x N n 0 m c X V v d D s s J n F 1 b 3 Q 7 U 2 V j d G l v b j E v d X V n L T A 0 L W 8 z L W h p b n R l c m d y d W 5 k L 1 F 1 Z W x s Z S 5 7 Q 2 9 s d W 1 u M T g s M T d 9 J n F 1 b 3 Q 7 L C Z x d W 9 0 O 1 N l Y 3 R p b 2 4 x L 3 V 1 Z y 0 w N C 1 v M y 1 o a W 5 0 Z X J n c n V u Z C 9 R d W V s b G U u e 0 N v b H V t b j E 5 L D E 4 f S Z x d W 9 0 O y w m c X V v d D t T Z W N 0 a W 9 u M S 9 1 d W c t M D Q t b z M t a G l u d G V y Z 3 J 1 b m Q v U X V l b G x l L n t D b 2 x 1 b W 4 y M C w x O X 0 m c X V v d D s s J n F 1 b 3 Q 7 U 2 V j d G l v b j E v d X V n L T A 0 L W 8 z L W h p b n R l c m d y d W 5 k L 1 F 1 Z W x s Z S 5 7 Q 2 9 s d W 1 u M j E s M j B 9 J n F 1 b 3 Q 7 L C Z x d W 9 0 O 1 N l Y 3 R p b 2 4 x L 3 V 1 Z y 0 w N C 1 v M y 1 o a W 5 0 Z X J n c n V u Z C 9 R d W V s b G U u e 0 N v b H V t b j I y L D I x f S Z x d W 9 0 O y w m c X V v d D t T Z W N 0 a W 9 u M S 9 1 d W c t M D Q t b z M t a G l u d G V y Z 3 J 1 b m Q v U X V l b G x l L n t D b 2 x 1 b W 4 y M y w y M n 0 m c X V v d D s s J n F 1 b 3 Q 7 U 2 V j d G l v b j E v d X V n L T A 0 L W 8 z L W h p b n R l c m d y d W 5 k L 1 F 1 Z W x s Z S 5 7 Q 2 9 s d W 1 u M j Q s M j N 9 J n F 1 b 3 Q 7 L C Z x d W 9 0 O 1 N l Y 3 R p b 2 4 x L 3 V 1 Z y 0 w N C 1 v M y 1 o a W 5 0 Z X J n c n V u Z C 9 R d W V s b G U u e 0 N v b H V t b j I 1 L D I 0 f S Z x d W 9 0 O y w m c X V v d D t T Z W N 0 a W 9 u M S 9 1 d W c t M D Q t b z M t a G l u d G V y Z 3 J 1 b m Q v U X V l b G x l L n t D b 2 x 1 b W 4 y N i w y N X 0 m c X V v d D s s J n F 1 b 3 Q 7 U 2 V j d G l v b j E v d X V n L T A 0 L W 8 z L W h p b n R l c m d y d W 5 k L 1 F 1 Z W x s Z S 5 7 Q 2 9 s d W 1 u M j c s M j Z 9 J n F 1 b 3 Q 7 L C Z x d W 9 0 O 1 N l Y 3 R p b 2 4 x L 3 V 1 Z y 0 w N C 1 v M y 1 o a W 5 0 Z X J n c n V u Z C 9 R d W V s b G U u e 0 N v b H V t b j I 4 L D I 3 f S Z x d W 9 0 O y w m c X V v d D t T Z W N 0 a W 9 u M S 9 1 d W c t M D Q t b z M t a G l u d G V y Z 3 J 1 b m Q v U X V l b G x l L n t D b 2 x 1 b W 4 y O S w y O H 0 m c X V v d D s s J n F 1 b 3 Q 7 U 2 V j d G l v b j E v d X V n L T A 0 L W 8 z L W h p b n R l c m d y d W 5 k L 1 F 1 Z W x s Z S 5 7 Q 2 9 s d W 1 u M z A s M j l 9 J n F 1 b 3 Q 7 L C Z x d W 9 0 O 1 N l Y 3 R p b 2 4 x L 3 V 1 Z y 0 w N C 1 v M y 1 o a W 5 0 Z X J n c n V u Z C 9 R d W V s b G U u e 0 N v b H V t b j M x L D M w f S Z x d W 9 0 O y w m c X V v d D t T Z W N 0 a W 9 u M S 9 1 d W c t M D Q t b z M t a G l u d G V y Z 3 J 1 b m Q v U X V l b G x l L n t D b 2 x 1 b W 4 z M i w z M X 0 m c X V v d D s s J n F 1 b 3 Q 7 U 2 V j d G l v b j E v d X V n L T A 0 L W 8 z L W h p b n R l c m d y d W 5 k L 1 F 1 Z W x s Z S 5 7 Q 2 9 s d W 1 u M z M s M z J 9 J n F 1 b 3 Q 7 L C Z x d W 9 0 O 1 N l Y 3 R p b 2 4 x L 3 V 1 Z y 0 w N C 1 v M y 1 o a W 5 0 Z X J n c n V u Z C 9 R d W V s b G U u e 0 N v b H V t b j M 0 L D M z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1 d W c t M D Q t b z M t a G l u d G V y Z 3 J 1 b m Q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X V n L T A 0 L W 8 z L W h p b n R l c m d y d W 5 k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1 Z y 0 w N C 1 v M y 1 o a W 5 0 Z X J n c n V u Z C 9 I J U M z J U I 2 a G V y J T I w Z 2 V z d H V m d G U l M j B I Z W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d W c t M D Y t b G F l c m 0 t b G R l b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1 d W d f M D Z f b G F l c m 1 f b G R l b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z D p H J t Y m V s Y X N 0 d W 5 n I E x k Z W 4 i I C 8 + P E V u d H J 5 I F R 5 c G U 9 I l J l Y 2 9 2 Z X J 5 V G F y Z 2 V 0 Q 2 9 s d W 1 u I i B W Y W x 1 Z T 0 i b D E i I C 8 + P E V u d H J 5 I F R 5 c G U 9 I l J l Y 2 9 2 Z X J 5 V G F y Z 2 V 0 U m 9 3 I i B W Y W x 1 Z T 0 i b D I w I i A v P j x F b n R y e S B U e X B l P S J G a W x s R X J y b 3 J D b 3 V u d C I g V m F s d W U 9 I m w w I i A v P j x F b n R y e S B U e X B l P S J G a W x s T G F z d F V w Z G F 0 Z W Q i I F Z h b H V l P S J k M j A y M y 0 x M S 0 y O F Q w O T o x N z o 0 N y 4 0 O T k w N D M w W i I g L z 4 8 R W 5 0 c n k g V H l w Z T 0 i R m l s b E N v b H V t b l R 5 c G V z I i B W Y W x 1 Z T 0 i c 0 J n W U d C Z 1 l H I i A v P j x F b n R y e S B U e X B l P S J G a W x s Q 2 9 s d W 1 u T m F t Z X M i I F Z h b H V l P S J z W y Z x d W 9 0 O 0 N v b H V t b j E m c X V v d D s s J n F 1 b 3 Q 7 U 3 R y Y c O f Z S Z x d W 9 0 O y w m c X V v d D t C d W 5 k Z X N z Y 2 h p Z W 5 l b n d l Z 2 U m c X V v d D s s J n F 1 b 3 Q 7 U 2 9 u c 3 R p Z 2 U g U 2 N o a W V u Z W 5 3 Z W d l J n F 1 b 3 Q 7 L C Z x d W 9 0 O 0 Z s d W d s w 6 R y b S Z x d W 9 0 O y w m c X V v d D t J b m R 1 c 3 R y a W U m c X V v d D t d I i A v P j x F b n R y e S B U e X B l P S J G a W x s U 3 R h d H V z I i B W Y W x 1 Z T 0 i c 0 N v b X B s Z X R l I i A v P j x F b n R y e S B U e X B l P S J R d W V y e U l E I i B W Y W x 1 Z T 0 i c 2 F h N T N i Y m Q 2 L W F j N W Q t N D M 0 N y 0 4 N D M w L T Q z M j c 0 N j Y z Y T A 2 M y I g L z 4 8 R W 5 0 c n k g V H l w Z T 0 i R m l s b E V y c m 9 y Q 2 9 k Z S I g V m F s d W U 9 I n N V b m t u b 3 d u I i A v P j x F b n R y e S B U e X B l P S J G a W x s Q 2 9 1 b n Q i I F Z h b H V l P S J s M i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X V n L T A 2 L W x h Z X J t L W x k Z W 4 v R 2 X D p G 5 k Z X J 0 Z X I g V H l w L n s s M H 0 m c X V v d D s s J n F 1 b 3 Q 7 U 2 V j d G l v b j E v d X V n L T A 2 L W x h Z X J t L W x k Z W 4 v U X V l b G x l L n t D b 2 x 1 b W 4 y L D F 9 J n F 1 b 3 Q 7 L C Z x d W 9 0 O 1 N l Y 3 R p b 2 4 x L 3 V 1 Z y 0 w N i 1 s Y W V y b S 1 s Z G V u L 1 F 1 Z W x s Z S 5 7 Q 2 9 s d W 1 u M y w y f S Z x d W 9 0 O y w m c X V v d D t T Z W N 0 a W 9 u M S 9 1 d W c t M D Y t b G F l c m 0 t b G R l b i 9 R d W V s b G U u e 0 N v b H V t b j Q s M 3 0 m c X V v d D s s J n F 1 b 3 Q 7 U 2 V j d G l v b j E v d X V n L T A 2 L W x h Z X J t L W x k Z W 4 v U X V l b G x l L n t D b 2 x 1 b W 4 1 L D R 9 J n F 1 b 3 Q 7 L C Z x d W 9 0 O 1 N l Y 3 R p b 2 4 x L 3 V 1 Z y 0 w N i 1 s Y W V y b S 1 s Z G V u L 1 F 1 Z W x s Z S 5 7 Q 2 9 s d W 1 u N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1 d W c t M D Y t b G F l c m 0 t b G R l b i 9 H Z c O k b m R l c n R l c i B U e X A u e y w w f S Z x d W 9 0 O y w m c X V v d D t T Z W N 0 a W 9 u M S 9 1 d W c t M D Y t b G F l c m 0 t b G R l b i 9 R d W V s b G U u e 0 N v b H V t b j I s M X 0 m c X V v d D s s J n F 1 b 3 Q 7 U 2 V j d G l v b j E v d X V n L T A 2 L W x h Z X J t L W x k Z W 4 v U X V l b G x l L n t D b 2 x 1 b W 4 z L D J 9 J n F 1 b 3 Q 7 L C Z x d W 9 0 O 1 N l Y 3 R p b 2 4 x L 3 V 1 Z y 0 w N i 1 s Y W V y b S 1 s Z G V u L 1 F 1 Z W x s Z S 5 7 Q 2 9 s d W 1 u N C w z f S Z x d W 9 0 O y w m c X V v d D t T Z W N 0 a W 9 u M S 9 1 d W c t M D Y t b G F l c m 0 t b G R l b i 9 R d W V s b G U u e 0 N v b H V t b j U s N H 0 m c X V v d D s s J n F 1 b 3 Q 7 U 2 V j d G l v b j E v d X V n L T A 2 L W x h Z X J t L W x k Z W 4 v U X V l b G x l L n t D b 2 x 1 b W 4 2 L D V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V 1 Z y 0 w N i 1 s Y W V y b S 1 s Z G V u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1 Z y 0 w N i 1 s Y W V y b S 1 s Z G V u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1 Z y 0 w N i 1 s Y W V y b S 1 s Z G V u L 0 g l Q z M l Q j Z o Z X I l M j B n Z X N 0 d W Z 0 Z S U y M E h l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1 Z y 0 w N S 1 s Y W V y b S 1 s b m l n a H Q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d X V n X z A 1 X 2 x h Z X J t X 2 x u a W d o d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z D p H J t Y m V s Y X N 0 d W 5 n I E x u a W d o d C I g L z 4 8 R W 5 0 c n k g V H l w Z T 0 i U m V j b 3 Z l c n l U Y X J n Z X R D b 2 x 1 b W 4 i I F Z h b H V l P S J s M S I g L z 4 8 R W 5 0 c n k g V H l w Z T 0 i U m V j b 3 Z l c n l U Y X J n Z X R S b 3 c i I F Z h b H V l P S J s M j A i I C 8 + P E V u d H J 5 I F R 5 c G U 9 I k Z p b G x F c n J v c k N v d W 5 0 I i B W Y W x 1 Z T 0 i b D A i I C 8 + P E V u d H J 5 I F R 5 c G U 9 I k Z p b G x M Y X N 0 V X B k Y X R l Z C I g V m F s d W U 9 I m Q y M D I z L T E x L T I 4 V D A 5 O j E 3 O j Q 3 L j M w M T g 4 O D B a I i A v P j x F b n R y e S B U e X B l P S J G a W x s Q 2 9 s d W 1 u V H l w Z X M i I F Z h b H V l P S J z Q m d Z R 0 J n W U c i I C 8 + P E V u d H J 5 I F R 5 c G U 9 I k Z p b G x D b 2 x 1 b W 5 O Y W 1 l c y I g V m F s d W U 9 I n N b J n F 1 b 3 Q 7 Q 2 9 s d W 1 u M S Z x d W 9 0 O y w m c X V v d D t T d H J h w 5 9 l J n F 1 b 3 Q 7 L C Z x d W 9 0 O 0 J 1 b m R l c 3 N j a G l l b m V u d 2 V n Z S Z x d W 9 0 O y w m c X V v d D t T b 2 5 z d G l n Z S B T Y 2 h p Z W 5 l b n d l Z 2 U m c X V v d D s s J n F 1 b 3 Q 7 R m x 1 Z 2 z D p H J t J n F 1 b 3 Q 7 L C Z x d W 9 0 O 0 l u Z H V z d H J p Z S Z x d W 9 0 O 1 0 i I C 8 + P E V u d H J 5 I F R 5 c G U 9 I k Z p b G x T d G F 0 d X M i I F Z h b H V l P S J z Q 2 9 t c G x l d G U i I C 8 + P E V u d H J 5 I F R 5 c G U 9 I l F 1 Z X J 5 S U Q i I F Z h b H V l P S J z Y m V h O D d k M m Y t M T F i Z S 0 0 N D M w L T h l Y T Q t O D Q 0 Z m Z m O D g x M T h j I i A v P j x F b n R y e S B U e X B l P S J G a W x s R X J y b 3 J D b 2 R l I i B W Y W x 1 Z T 0 i c 1 V u a 2 5 v d 2 4 i I C 8 + P E V u d H J 5 I F R 5 c G U 9 I k Z p b G x D b 3 V u d C I g V m F s d W U 9 I m w y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1 d W c t M D U t b G F l c m 0 t b G 5 p Z 2 h 0 L 0 d l w 6 R u Z G V y d G V y I F R 5 c C 5 7 L D B 9 J n F 1 b 3 Q 7 L C Z x d W 9 0 O 1 N l Y 3 R p b 2 4 x L 3 V 1 Z y 0 w N S 1 s Y W V y b S 1 s b m l n a H Q v U X V l b G x l L n t D b 2 x 1 b W 4 y L D F 9 J n F 1 b 3 Q 7 L C Z x d W 9 0 O 1 N l Y 3 R p b 2 4 x L 3 V 1 Z y 0 w N S 1 s Y W V y b S 1 s b m l n a H Q v U X V l b G x l L n t D b 2 x 1 b W 4 z L D J 9 J n F 1 b 3 Q 7 L C Z x d W 9 0 O 1 N l Y 3 R p b 2 4 x L 3 V 1 Z y 0 w N S 1 s Y W V y b S 1 s b m l n a H Q v U X V l b G x l L n t D b 2 x 1 b W 4 0 L D N 9 J n F 1 b 3 Q 7 L C Z x d W 9 0 O 1 N l Y 3 R p b 2 4 x L 3 V 1 Z y 0 w N S 1 s Y W V y b S 1 s b m l n a H Q v U X V l b G x l L n t D b 2 x 1 b W 4 1 L D R 9 J n F 1 b 3 Q 7 L C Z x d W 9 0 O 1 N l Y 3 R p b 2 4 x L 3 V 1 Z y 0 w N S 1 s Y W V y b S 1 s b m l n a H Q v U X V l b G x l L n t D b 2 x 1 b W 4 2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3 V 1 Z y 0 w N S 1 s Y W V y b S 1 s b m l n a H Q v R 2 X D p G 5 k Z X J 0 Z X I g V H l w L n s s M H 0 m c X V v d D s s J n F 1 b 3 Q 7 U 2 V j d G l v b j E v d X V n L T A 1 L W x h Z X J t L W x u a W d o d C 9 R d W V s b G U u e 0 N v b H V t b j I s M X 0 m c X V v d D s s J n F 1 b 3 Q 7 U 2 V j d G l v b j E v d X V n L T A 1 L W x h Z X J t L W x u a W d o d C 9 R d W V s b G U u e 0 N v b H V t b j M s M n 0 m c X V v d D s s J n F 1 b 3 Q 7 U 2 V j d G l v b j E v d X V n L T A 1 L W x h Z X J t L W x u a W d o d C 9 R d W V s b G U u e 0 N v b H V t b j Q s M 3 0 m c X V v d D s s J n F 1 b 3 Q 7 U 2 V j d G l v b j E v d X V n L T A 1 L W x h Z X J t L W x u a W d o d C 9 R d W V s b G U u e 0 N v b H V t b j U s N H 0 m c X V v d D s s J n F 1 b 3 Q 7 U 2 V j d G l v b j E v d X V n L T A 1 L W x h Z X J t L W x u a W d o d C 9 R d W V s b G U u e 0 N v b H V t b j Y s N X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d X V n L T A 1 L W x h Z X J t L W x u a W d o d C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d W c t M D U t b G F l c m 0 t b G 5 p Z 2 h 0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1 Z y 0 w N S 1 s Y W V y b S 1 s b m l n a H Q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J 3 L T A x L W h h d X N o Y W x 0 c 2 F i Z m F s b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h Y n d f M D F f a G F 1 c 2 h h b H R z Y W J m Y W x s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S E g t Q W J m w 6 R s b G U i I C 8 + P E V u d H J 5 I F R 5 c G U 9 I l J l Y 2 9 2 Z X J 5 V G F y Z 2 V 0 Q 2 9 s d W 1 u I i B W Y W x 1 Z T 0 i b D E i I C 8 + P E V u d H J 5 I F R 5 c G U 9 I l J l Y 2 9 2 Z X J 5 V G F y Z 2 V 0 U m 9 3 I i B W Y W x 1 Z T 0 i b D I w I i A v P j x F b n R y e S B U e X B l P S J G a W x s R X J y b 3 J D b 3 V u d C I g V m F s d W U 9 I m w w I i A v P j x F b n R y e S B U e X B l P S J G a W x s T G F z d F V w Z G F 0 Z W Q i I F Z h b H V l P S J k M j A y M y 0 x M S 0 y O F Q w O T o x N z o 0 N y 4 x N T k y N j g y W i I g L z 4 8 R W 5 0 c n k g V H l w Z T 0 i R m l s b E N v b H V t b l R 5 c G V z I i B W Y W x 1 Z T 0 i c 0 J n W U d C Z 1 l H Q m d Z R 0 J n W U d C Z 1 l H Q m d Z R 0 J n W U d C Z 1 l H Q m d Z R 0 J n P T 0 i I C 8 + P E V u d H J 5 I F R 5 c G U 9 I k Z p b G x D b 2 x 1 b W 5 O Y W 1 l c y I g V m F s d W U 9 I n N b J n F 1 b 3 Q 7 Q 2 9 s d W 1 u M S Z x d W 9 0 O y w m c X V v d D s x O T k 1 J n F 1 b 3 Q 7 L C Z x d W 9 0 O z E 5 O T Y m c X V v d D s s J n F 1 b 3 Q 7 M T k 5 N y Z x d W 9 0 O y w m c X V v d D s x O T k 4 J n F 1 b 3 Q 7 L C Z x d W 9 0 O z E 5 O T k m c X V v d D s s J n F 1 b 3 Q 7 M j A w M C Z x d W 9 0 O y w m c X V v d D s y M D A x J n F 1 b 3 Q 7 L C Z x d W 9 0 O z I w M D I m c X V v d D s s J n F 1 b 3 Q 7 M j A w M y Z x d W 9 0 O y w m c X V v d D s y M D A 0 J n F 1 b 3 Q 7 L C Z x d W 9 0 O z I w M D U m c X V v d D s s J n F 1 b 3 Q 7 M j A w N i Z x d W 9 0 O y w m c X V v d D s y M D A 3 J n F 1 b 3 Q 7 L C Z x d W 9 0 O z I w M D g m c X V v d D s s J n F 1 b 3 Q 7 M j A w O S Z x d W 9 0 O y w m c X V v d D s y M D E w J n F 1 b 3 Q 7 L C Z x d W 9 0 O z I w M T E m c X V v d D s s J n F 1 b 3 Q 7 M j A x M i Z x d W 9 0 O y w m c X V v d D s y M D E z J n F 1 b 3 Q 7 L C Z x d W 9 0 O z I w M T Q m c X V v d D s s J n F 1 b 3 Q 7 M j A x N S Z x d W 9 0 O y w m c X V v d D s y M D E 2 J n F 1 b 3 Q 7 L C Z x d W 9 0 O z I w M T c m c X V v d D s s J n F 1 b 3 Q 7 M j A x O C Z x d W 9 0 O y w m c X V v d D s y M D E 5 J n F 1 b 3 Q 7 L C Z x d W 9 0 O z I w M j A m c X V v d D s s J n F 1 b 3 Q 7 M j A y M S Z x d W 9 0 O 1 0 i I C 8 + P E V u d H J 5 I F R 5 c G U 9 I k Z p b G x T d G F 0 d X M i I F Z h b H V l P S J z Q 2 9 t c G x l d G U i I C 8 + P E V u d H J 5 I F R 5 c G U 9 I l F 1 Z X J 5 S U Q i I F Z h b H V l P S J z N G Z m M W Y 4 Z T k t N G Q y N i 0 0 M j k 3 L T g 5 Z D U t Y 2 I 5 M T h k M G E 5 M W N h I i A v P j x F b n R y e S B U e X B l P S J G a W x s R X J y b 3 J D b 2 R l I i B W Y W x 1 Z T 0 i c 1 V u a 2 5 v d 2 4 i I C 8 + P E V u d H J 5 I F R 5 c G U 9 I k Z p b G x D b 3 V u d C I g V m F s d W U 9 I m w z I i A v P j x F b n R y e S B U e X B l P S J S Z W x h d G l v b n N o a X B J b m Z v Q 2 9 u d G F p b m V y I i B W Y W x 1 Z T 0 i c 3 s m c X V v d D t j b 2 x 1 b W 5 D b 3 V u d C Z x d W 9 0 O z o y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W J 3 L T A x L W h h d X N o Y W x 0 c 2 F i Z m F s b C 9 H Z c O k b m R l c n R l c i B U e X A u e y w w f S Z x d W 9 0 O y w m c X V v d D t T Z W N 0 a W 9 u M S 9 h Y n c t M D E t a G F 1 c 2 h h b H R z Y W J m Y W x s L 1 F 1 Z W x s Z S 5 7 Q 2 9 s d W 1 u M i w x f S Z x d W 9 0 O y w m c X V v d D t T Z W N 0 a W 9 u M S 9 h Y n c t M D E t a G F 1 c 2 h h b H R z Y W J m Y W x s L 1 F 1 Z W x s Z S 5 7 Q 2 9 s d W 1 u M y w y f S Z x d W 9 0 O y w m c X V v d D t T Z W N 0 a W 9 u M S 9 h Y n c t M D E t a G F 1 c 2 h h b H R z Y W J m Y W x s L 1 F 1 Z W x s Z S 5 7 Q 2 9 s d W 1 u N C w z f S Z x d W 9 0 O y w m c X V v d D t T Z W N 0 a W 9 u M S 9 h Y n c t M D E t a G F 1 c 2 h h b H R z Y W J m Y W x s L 1 F 1 Z W x s Z S 5 7 Q 2 9 s d W 1 u N S w 0 f S Z x d W 9 0 O y w m c X V v d D t T Z W N 0 a W 9 u M S 9 h Y n c t M D E t a G F 1 c 2 h h b H R z Y W J m Y W x s L 1 F 1 Z W x s Z S 5 7 Q 2 9 s d W 1 u N i w 1 f S Z x d W 9 0 O y w m c X V v d D t T Z W N 0 a W 9 u M S 9 h Y n c t M D E t a G F 1 c 2 h h b H R z Y W J m Y W x s L 1 F 1 Z W x s Z S 5 7 Q 2 9 s d W 1 u N y w 2 f S Z x d W 9 0 O y w m c X V v d D t T Z W N 0 a W 9 u M S 9 h Y n c t M D E t a G F 1 c 2 h h b H R z Y W J m Y W x s L 1 F 1 Z W x s Z S 5 7 Q 2 9 s d W 1 u O C w 3 f S Z x d W 9 0 O y w m c X V v d D t T Z W N 0 a W 9 u M S 9 h Y n c t M D E t a G F 1 c 2 h h b H R z Y W J m Y W x s L 1 F 1 Z W x s Z S 5 7 Q 2 9 s d W 1 u O S w 4 f S Z x d W 9 0 O y w m c X V v d D t T Z W N 0 a W 9 u M S 9 h Y n c t M D E t a G F 1 c 2 h h b H R z Y W J m Y W x s L 1 F 1 Z W x s Z S 5 7 Q 2 9 s d W 1 u M T A s O X 0 m c X V v d D s s J n F 1 b 3 Q 7 U 2 V j d G l v b j E v Y W J 3 L T A x L W h h d X N o Y W x 0 c 2 F i Z m F s b C 9 R d W V s b G U u e 0 N v b H V t b j E x L D E w f S Z x d W 9 0 O y w m c X V v d D t T Z W N 0 a W 9 u M S 9 h Y n c t M D E t a G F 1 c 2 h h b H R z Y W J m Y W x s L 1 F 1 Z W x s Z S 5 7 Q 2 9 s d W 1 u M T I s M T F 9 J n F 1 b 3 Q 7 L C Z x d W 9 0 O 1 N l Y 3 R p b 2 4 x L 2 F i d y 0 w M S 1 o Y X V z a G F s d H N h Y m Z h b G w v U X V l b G x l L n t D b 2 x 1 b W 4 x M y w x M n 0 m c X V v d D s s J n F 1 b 3 Q 7 U 2 V j d G l v b j E v Y W J 3 L T A x L W h h d X N o Y W x 0 c 2 F i Z m F s b C 9 R d W V s b G U u e 0 N v b H V t b j E 0 L D E z f S Z x d W 9 0 O y w m c X V v d D t T Z W N 0 a W 9 u M S 9 h Y n c t M D E t a G F 1 c 2 h h b H R z Y W J m Y W x s L 1 F 1 Z W x s Z S 5 7 Q 2 9 s d W 1 u M T U s M T R 9 J n F 1 b 3 Q 7 L C Z x d W 9 0 O 1 N l Y 3 R p b 2 4 x L 2 F i d y 0 w M S 1 o Y X V z a G F s d H N h Y m Z h b G w v U X V l b G x l L n t D b 2 x 1 b W 4 x N i w x N X 0 m c X V v d D s s J n F 1 b 3 Q 7 U 2 V j d G l v b j E v Y W J 3 L T A x L W h h d X N o Y W x 0 c 2 F i Z m F s b C 9 R d W V s b G U u e 0 N v b H V t b j E 3 L D E 2 f S Z x d W 9 0 O y w m c X V v d D t T Z W N 0 a W 9 u M S 9 h Y n c t M D E t a G F 1 c 2 h h b H R z Y W J m Y W x s L 1 F 1 Z W x s Z S 5 7 Q 2 9 s d W 1 u M T g s M T d 9 J n F 1 b 3 Q 7 L C Z x d W 9 0 O 1 N l Y 3 R p b 2 4 x L 2 F i d y 0 w M S 1 o Y X V z a G F s d H N h Y m Z h b G w v U X V l b G x l L n t D b 2 x 1 b W 4 x O S w x O H 0 m c X V v d D s s J n F 1 b 3 Q 7 U 2 V j d G l v b j E v Y W J 3 L T A x L W h h d X N o Y W x 0 c 2 F i Z m F s b C 9 R d W V s b G U u e 0 N v b H V t b j I w L D E 5 f S Z x d W 9 0 O y w m c X V v d D t T Z W N 0 a W 9 u M S 9 h Y n c t M D E t a G F 1 c 2 h h b H R z Y W J m Y W x s L 1 F 1 Z W x s Z S 5 7 Q 2 9 s d W 1 u M j E s M j B 9 J n F 1 b 3 Q 7 L C Z x d W 9 0 O 1 N l Y 3 R p b 2 4 x L 2 F i d y 0 w M S 1 o Y X V z a G F s d H N h Y m Z h b G w v U X V l b G x l L n t D b 2 x 1 b W 4 y M i w y M X 0 m c X V v d D s s J n F 1 b 3 Q 7 U 2 V j d G l v b j E v Y W J 3 L T A x L W h h d X N o Y W x 0 c 2 F i Z m F s b C 9 R d W V s b G U u e 0 N v b H V t b j I z L D I y f S Z x d W 9 0 O y w m c X V v d D t T Z W N 0 a W 9 u M S 9 h Y n c t M D E t a G F 1 c 2 h h b H R z Y W J m Y W x s L 1 F 1 Z W x s Z S 5 7 Q 2 9 s d W 1 u M j Q s M j N 9 J n F 1 b 3 Q 7 L C Z x d W 9 0 O 1 N l Y 3 R p b 2 4 x L 2 F i d y 0 w M S 1 o Y X V z a G F s d H N h Y m Z h b G w v U X V l b G x l L n t D b 2 x 1 b W 4 y N S w y N H 0 m c X V v d D s s J n F 1 b 3 Q 7 U 2 V j d G l v b j E v Y W J 3 L T A x L W h h d X N o Y W x 0 c 2 F i Z m F s b C 9 R d W V s b G U u e 0 N v b H V t b j I 2 L D I 1 f S Z x d W 9 0 O y w m c X V v d D t T Z W N 0 a W 9 u M S 9 h Y n c t M D E t a G F 1 c 2 h h b H R z Y W J m Y W x s L 1 F 1 Z W x s Z S 5 7 Q 2 9 s d W 1 u M j c s M j Z 9 J n F 1 b 3 Q 7 L C Z x d W 9 0 O 1 N l Y 3 R p b 2 4 x L 2 F i d y 0 w M S 1 o Y X V z a G F s d H N h Y m Z h b G w v U X V l b G x l L n t D b 2 x 1 b W 4 y O C w y N 3 0 m c X V v d D t d L C Z x d W 9 0 O 0 N v b H V t b k N v d W 5 0 J n F 1 b 3 Q 7 O j I 4 L C Z x d W 9 0 O 0 t l e U N v b H V t b k 5 h b W V z J n F 1 b 3 Q 7 O l t d L C Z x d W 9 0 O 0 N v b H V t b k l k Z W 5 0 a X R p Z X M m c X V v d D s 6 W y Z x d W 9 0 O 1 N l Y 3 R p b 2 4 x L 2 F i d y 0 w M S 1 o Y X V z a G F s d H N h Y m Z h b G w v R 2 X D p G 5 k Z X J 0 Z X I g V H l w L n s s M H 0 m c X V v d D s s J n F 1 b 3 Q 7 U 2 V j d G l v b j E v Y W J 3 L T A x L W h h d X N o Y W x 0 c 2 F i Z m F s b C 9 R d W V s b G U u e 0 N v b H V t b j I s M X 0 m c X V v d D s s J n F 1 b 3 Q 7 U 2 V j d G l v b j E v Y W J 3 L T A x L W h h d X N o Y W x 0 c 2 F i Z m F s b C 9 R d W V s b G U u e 0 N v b H V t b j M s M n 0 m c X V v d D s s J n F 1 b 3 Q 7 U 2 V j d G l v b j E v Y W J 3 L T A x L W h h d X N o Y W x 0 c 2 F i Z m F s b C 9 R d W V s b G U u e 0 N v b H V t b j Q s M 3 0 m c X V v d D s s J n F 1 b 3 Q 7 U 2 V j d G l v b j E v Y W J 3 L T A x L W h h d X N o Y W x 0 c 2 F i Z m F s b C 9 R d W V s b G U u e 0 N v b H V t b j U s N H 0 m c X V v d D s s J n F 1 b 3 Q 7 U 2 V j d G l v b j E v Y W J 3 L T A x L W h h d X N o Y W x 0 c 2 F i Z m F s b C 9 R d W V s b G U u e 0 N v b H V t b j Y s N X 0 m c X V v d D s s J n F 1 b 3 Q 7 U 2 V j d G l v b j E v Y W J 3 L T A x L W h h d X N o Y W x 0 c 2 F i Z m F s b C 9 R d W V s b G U u e 0 N v b H V t b j c s N n 0 m c X V v d D s s J n F 1 b 3 Q 7 U 2 V j d G l v b j E v Y W J 3 L T A x L W h h d X N o Y W x 0 c 2 F i Z m F s b C 9 R d W V s b G U u e 0 N v b H V t b j g s N 3 0 m c X V v d D s s J n F 1 b 3 Q 7 U 2 V j d G l v b j E v Y W J 3 L T A x L W h h d X N o Y W x 0 c 2 F i Z m F s b C 9 R d W V s b G U u e 0 N v b H V t b j k s O H 0 m c X V v d D s s J n F 1 b 3 Q 7 U 2 V j d G l v b j E v Y W J 3 L T A x L W h h d X N o Y W x 0 c 2 F i Z m F s b C 9 R d W V s b G U u e 0 N v b H V t b j E w L D l 9 J n F 1 b 3 Q 7 L C Z x d W 9 0 O 1 N l Y 3 R p b 2 4 x L 2 F i d y 0 w M S 1 o Y X V z a G F s d H N h Y m Z h b G w v U X V l b G x l L n t D b 2 x 1 b W 4 x M S w x M H 0 m c X V v d D s s J n F 1 b 3 Q 7 U 2 V j d G l v b j E v Y W J 3 L T A x L W h h d X N o Y W x 0 c 2 F i Z m F s b C 9 R d W V s b G U u e 0 N v b H V t b j E y L D E x f S Z x d W 9 0 O y w m c X V v d D t T Z W N 0 a W 9 u M S 9 h Y n c t M D E t a G F 1 c 2 h h b H R z Y W J m Y W x s L 1 F 1 Z W x s Z S 5 7 Q 2 9 s d W 1 u M T M s M T J 9 J n F 1 b 3 Q 7 L C Z x d W 9 0 O 1 N l Y 3 R p b 2 4 x L 2 F i d y 0 w M S 1 o Y X V z a G F s d H N h Y m Z h b G w v U X V l b G x l L n t D b 2 x 1 b W 4 x N C w x M 3 0 m c X V v d D s s J n F 1 b 3 Q 7 U 2 V j d G l v b j E v Y W J 3 L T A x L W h h d X N o Y W x 0 c 2 F i Z m F s b C 9 R d W V s b G U u e 0 N v b H V t b j E 1 L D E 0 f S Z x d W 9 0 O y w m c X V v d D t T Z W N 0 a W 9 u M S 9 h Y n c t M D E t a G F 1 c 2 h h b H R z Y W J m Y W x s L 1 F 1 Z W x s Z S 5 7 Q 2 9 s d W 1 u M T Y s M T V 9 J n F 1 b 3 Q 7 L C Z x d W 9 0 O 1 N l Y 3 R p b 2 4 x L 2 F i d y 0 w M S 1 o Y X V z a G F s d H N h Y m Z h b G w v U X V l b G x l L n t D b 2 x 1 b W 4 x N y w x N n 0 m c X V v d D s s J n F 1 b 3 Q 7 U 2 V j d G l v b j E v Y W J 3 L T A x L W h h d X N o Y W x 0 c 2 F i Z m F s b C 9 R d W V s b G U u e 0 N v b H V t b j E 4 L D E 3 f S Z x d W 9 0 O y w m c X V v d D t T Z W N 0 a W 9 u M S 9 h Y n c t M D E t a G F 1 c 2 h h b H R z Y W J m Y W x s L 1 F 1 Z W x s Z S 5 7 Q 2 9 s d W 1 u M T k s M T h 9 J n F 1 b 3 Q 7 L C Z x d W 9 0 O 1 N l Y 3 R p b 2 4 x L 2 F i d y 0 w M S 1 o Y X V z a G F s d H N h Y m Z h b G w v U X V l b G x l L n t D b 2 x 1 b W 4 y M C w x O X 0 m c X V v d D s s J n F 1 b 3 Q 7 U 2 V j d G l v b j E v Y W J 3 L T A x L W h h d X N o Y W x 0 c 2 F i Z m F s b C 9 R d W V s b G U u e 0 N v b H V t b j I x L D I w f S Z x d W 9 0 O y w m c X V v d D t T Z W N 0 a W 9 u M S 9 h Y n c t M D E t a G F 1 c 2 h h b H R z Y W J m Y W x s L 1 F 1 Z W x s Z S 5 7 Q 2 9 s d W 1 u M j I s M j F 9 J n F 1 b 3 Q 7 L C Z x d W 9 0 O 1 N l Y 3 R p b 2 4 x L 2 F i d y 0 w M S 1 o Y X V z a G F s d H N h Y m Z h b G w v U X V l b G x l L n t D b 2 x 1 b W 4 y M y w y M n 0 m c X V v d D s s J n F 1 b 3 Q 7 U 2 V j d G l v b j E v Y W J 3 L T A x L W h h d X N o Y W x 0 c 2 F i Z m F s b C 9 R d W V s b G U u e 0 N v b H V t b j I 0 L D I z f S Z x d W 9 0 O y w m c X V v d D t T Z W N 0 a W 9 u M S 9 h Y n c t M D E t a G F 1 c 2 h h b H R z Y W J m Y W x s L 1 F 1 Z W x s Z S 5 7 Q 2 9 s d W 1 u M j U s M j R 9 J n F 1 b 3 Q 7 L C Z x d W 9 0 O 1 N l Y 3 R p b 2 4 x L 2 F i d y 0 w M S 1 o Y X V z a G F s d H N h Y m Z h b G w v U X V l b G x l L n t D b 2 x 1 b W 4 y N i w y N X 0 m c X V v d D s s J n F 1 b 3 Q 7 U 2 V j d G l v b j E v Y W J 3 L T A x L W h h d X N o Y W x 0 c 2 F i Z m F s b C 9 R d W V s b G U u e 0 N v b H V t b j I 3 L D I 2 f S Z x d W 9 0 O y w m c X V v d D t T Z W N 0 a W 9 u M S 9 h Y n c t M D E t a G F 1 c 2 h h b H R z Y W J m Y W x s L 1 F 1 Z W x s Z S 5 7 Q 2 9 s d W 1 u M j g s M j d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F i d y 0 w M S 1 o Y X V z a G F s d H N h Y m Z h b G w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J 3 L T A x L W h h d X N o Y W x 0 c 2 F i Z m F s b C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n c t M D E t a G F 1 c 2 h h b H R z Y W J m Y W x s L 0 g l Q z M l Q j Z o Z X I l M j B n Z X N 0 d W Z 0 Z S U y M E h l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i d y 0 w M i 1 y Z W N 5 Y 2 x p b m c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Y W J 3 X z A y X 3 J l Y 3 l j b G l u Z y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J l Y 3 l j b G l u Z 3 F v d G U i I C 8 + P E V u d H J 5 I F R 5 c G U 9 I l J l Y 2 9 2 Z X J 5 V G F y Z 2 V 0 Q 2 9 s d W 1 u I i B W Y W x 1 Z T 0 i b D E i I C 8 + P E V u d H J 5 I F R 5 c G U 9 I l J l Y 2 9 2 Z X J 5 V G F y Z 2 V 0 U m 9 3 I i B W Y W x 1 Z T 0 i b D I w I i A v P j x F b n R y e S B U e X B l P S J G a W x s R X J y b 3 J D b 3 V u d C I g V m F s d W U 9 I m w w I i A v P j x F b n R y e S B U e X B l P S J G a W x s T G F z d F V w Z G F 0 Z W Q i I F Z h b H V l P S J k M j A y M y 0 x M S 0 y O F Q w O T o x N z o 0 N y 4 w M D c x N D U 5 W i I g L z 4 8 R W 5 0 c n k g V H l w Z T 0 i R m l s b E N v b H V t b l R 5 c G V z I i B W Y W x 1 Z T 0 i c 0 J n W U d C Z 1 l H Q m d Z R 0 J n W U d C Z 1 l H Q m d Z R 0 J n W U d C Z 1 l H Q m d Z R y I g L z 4 8 R W 5 0 c n k g V H l w Z T 0 i R m l s b E N v b H V t b k 5 h b W V z I i B W Y W x 1 Z T 0 i c 1 s m c X V v d D t D b 2 x 1 b W 4 x J n F 1 b 3 Q 7 L C Z x d W 9 0 O z E 5 O T U m c X V v d D s s J n F 1 b 3 Q 7 M T k 5 N i Z x d W 9 0 O y w m c X V v d D s x O T k 3 J n F 1 b 3 Q 7 L C Z x d W 9 0 O z E 5 O T g m c X V v d D s s J n F 1 b 3 Q 7 M T k 5 O S Z x d W 9 0 O y w m c X V v d D s y M D A w J n F 1 b 3 Q 7 L C Z x d W 9 0 O z I w M D E m c X V v d D s s J n F 1 b 3 Q 7 M j A w M i Z x d W 9 0 O y w m c X V v d D s y M D A z J n F 1 b 3 Q 7 L C Z x d W 9 0 O z I w M D Q m c X V v d D s s J n F 1 b 3 Q 7 M j A w N S Z x d W 9 0 O y w m c X V v d D s y M D A 2 J n F 1 b 3 Q 7 L C Z x d W 9 0 O z I w M D c m c X V v d D s s J n F 1 b 3 Q 7 M j A w O C Z x d W 9 0 O y w m c X V v d D s y M D A 5 J n F 1 b 3 Q 7 L C Z x d W 9 0 O z I w M T A m c X V v d D s s J n F 1 b 3 Q 7 M j A x M S Z x d W 9 0 O y w m c X V v d D s y M D E y J n F 1 b 3 Q 7 L C Z x d W 9 0 O z I w M T M m c X V v d D s s J n F 1 b 3 Q 7 M j A x N C Z x d W 9 0 O y w m c X V v d D s y M D E 1 J n F 1 b 3 Q 7 L C Z x d W 9 0 O z I w M T Y m c X V v d D s s J n F 1 b 3 Q 7 M j A x N y Z x d W 9 0 O y w m c X V v d D s y M D E 4 J n F 1 b 3 Q 7 L C Z x d W 9 0 O z I w M T k m c X V v d D s s J n F 1 b 3 Q 7 M j A y M C Z x d W 9 0 O 1 0 i I C 8 + P E V u d H J 5 I F R 5 c G U 9 I k Z p b G x T d G F 0 d X M i I F Z h b H V l P S J z Q 2 9 t c G x l d G U i I C 8 + P E V u d H J 5 I F R 5 c G U 9 I l F 1 Z X J 5 S U Q i I F Z h b H V l P S J z N G R i O W Q 2 Z j E t M j k 2 Z S 0 0 Z T c 5 L T h i Z T U t Y j d i Z G M w O W F k Z T A 5 I i A v P j x F b n R y e S B U e X B l P S J G a W x s R X J y b 3 J D b 2 R l I i B W Y W x 1 Z T 0 i c 1 V u a 2 5 v d 2 4 i I C 8 + P E V u d H J 5 I F R 5 c G U 9 I k Z p b G x D b 3 V u d C I g V m F s d W U 9 I m w x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W J 3 L T A y L X J l Y 3 l j b G l u Z y 9 H Z c O k b m R l c n R l c i B U e X A u e y w w f S Z x d W 9 0 O y w m c X V v d D t T Z W N 0 a W 9 u M S 9 h Y n c t M D I t c m V j e W N s a W 5 n L 1 F 1 Z W x s Z S 5 7 Q 2 9 s d W 1 u M i w x f S Z x d W 9 0 O y w m c X V v d D t T Z W N 0 a W 9 u M S 9 h Y n c t M D I t c m V j e W N s a W 5 n L 1 F 1 Z W x s Z S 5 7 Q 2 9 s d W 1 u M y w y f S Z x d W 9 0 O y w m c X V v d D t T Z W N 0 a W 9 u M S 9 h Y n c t M D I t c m V j e W N s a W 5 n L 1 F 1 Z W x s Z S 5 7 Q 2 9 s d W 1 u N C w z f S Z x d W 9 0 O y w m c X V v d D t T Z W N 0 a W 9 u M S 9 h Y n c t M D I t c m V j e W N s a W 5 n L 1 F 1 Z W x s Z S 5 7 Q 2 9 s d W 1 u N S w 0 f S Z x d W 9 0 O y w m c X V v d D t T Z W N 0 a W 9 u M S 9 h Y n c t M D I t c m V j e W N s a W 5 n L 1 F 1 Z W x s Z S 5 7 Q 2 9 s d W 1 u N i w 1 f S Z x d W 9 0 O y w m c X V v d D t T Z W N 0 a W 9 u M S 9 h Y n c t M D I t c m V j e W N s a W 5 n L 1 F 1 Z W x s Z S 5 7 Q 2 9 s d W 1 u N y w 2 f S Z x d W 9 0 O y w m c X V v d D t T Z W N 0 a W 9 u M S 9 h Y n c t M D I t c m V j e W N s a W 5 n L 1 F 1 Z W x s Z S 5 7 Q 2 9 s d W 1 u O C w 3 f S Z x d W 9 0 O y w m c X V v d D t T Z W N 0 a W 9 u M S 9 h Y n c t M D I t c m V j e W N s a W 5 n L 1 F 1 Z W x s Z S 5 7 Q 2 9 s d W 1 u O S w 4 f S Z x d W 9 0 O y w m c X V v d D t T Z W N 0 a W 9 u M S 9 h Y n c t M D I t c m V j e W N s a W 5 n L 1 F 1 Z W x s Z S 5 7 Q 2 9 s d W 1 u M T A s O X 0 m c X V v d D s s J n F 1 b 3 Q 7 U 2 V j d G l v b j E v Y W J 3 L T A y L X J l Y 3 l j b G l u Z y 9 R d W V s b G U u e 0 N v b H V t b j E x L D E w f S Z x d W 9 0 O y w m c X V v d D t T Z W N 0 a W 9 u M S 9 h Y n c t M D I t c m V j e W N s a W 5 n L 1 F 1 Z W x s Z S 5 7 Q 2 9 s d W 1 u M T I s M T F 9 J n F 1 b 3 Q 7 L C Z x d W 9 0 O 1 N l Y 3 R p b 2 4 x L 2 F i d y 0 w M i 1 y Z W N 5 Y 2 x p b m c v U X V l b G x l L n t D b 2 x 1 b W 4 x M y w x M n 0 m c X V v d D s s J n F 1 b 3 Q 7 U 2 V j d G l v b j E v Y W J 3 L T A y L X J l Y 3 l j b G l u Z y 9 R d W V s b G U u e 0 N v b H V t b j E 0 L D E z f S Z x d W 9 0 O y w m c X V v d D t T Z W N 0 a W 9 u M S 9 h Y n c t M D I t c m V j e W N s a W 5 n L 1 F 1 Z W x s Z S 5 7 Q 2 9 s d W 1 u M T U s M T R 9 J n F 1 b 3 Q 7 L C Z x d W 9 0 O 1 N l Y 3 R p b 2 4 x L 2 F i d y 0 w M i 1 y Z W N 5 Y 2 x p b m c v U X V l b G x l L n t D b 2 x 1 b W 4 x N i w x N X 0 m c X V v d D s s J n F 1 b 3 Q 7 U 2 V j d G l v b j E v Y W J 3 L T A y L X J l Y 3 l j b G l u Z y 9 R d W V s b G U u e 0 N v b H V t b j E 3 L D E 2 f S Z x d W 9 0 O y w m c X V v d D t T Z W N 0 a W 9 u M S 9 h Y n c t M D I t c m V j e W N s a W 5 n L 1 F 1 Z W x s Z S 5 7 Q 2 9 s d W 1 u M T g s M T d 9 J n F 1 b 3 Q 7 L C Z x d W 9 0 O 1 N l Y 3 R p b 2 4 x L 2 F i d y 0 w M i 1 y Z W N 5 Y 2 x p b m c v U X V l b G x l L n t D b 2 x 1 b W 4 x O S w x O H 0 m c X V v d D s s J n F 1 b 3 Q 7 U 2 V j d G l v b j E v Y W J 3 L T A y L X J l Y 3 l j b G l u Z y 9 R d W V s b G U u e 0 N v b H V t b j I w L D E 5 f S Z x d W 9 0 O y w m c X V v d D t T Z W N 0 a W 9 u M S 9 h Y n c t M D I t c m V j e W N s a W 5 n L 1 F 1 Z W x s Z S 5 7 Q 2 9 s d W 1 u M j E s M j B 9 J n F 1 b 3 Q 7 L C Z x d W 9 0 O 1 N l Y 3 R p b 2 4 x L 2 F i d y 0 w M i 1 y Z W N 5 Y 2 x p b m c v U X V l b G x l L n t D b 2 x 1 b W 4 y M i w y M X 0 m c X V v d D s s J n F 1 b 3 Q 7 U 2 V j d G l v b j E v Y W J 3 L T A y L X J l Y 3 l j b G l u Z y 9 R d W V s b G U u e 0 N v b H V t b j I z L D I y f S Z x d W 9 0 O y w m c X V v d D t T Z W N 0 a W 9 u M S 9 h Y n c t M D I t c m V j e W N s a W 5 n L 1 F 1 Z W x s Z S 5 7 Q 2 9 s d W 1 u M j Q s M j N 9 J n F 1 b 3 Q 7 L C Z x d W 9 0 O 1 N l Y 3 R p b 2 4 x L 2 F i d y 0 w M i 1 y Z W N 5 Y 2 x p b m c v U X V l b G x l L n t D b 2 x 1 b W 4 y N S w y N H 0 m c X V v d D s s J n F 1 b 3 Q 7 U 2 V j d G l v b j E v Y W J 3 L T A y L X J l Y 3 l j b G l u Z y 9 R d W V s b G U u e 0 N v b H V t b j I 2 L D I 1 f S Z x d W 9 0 O y w m c X V v d D t T Z W N 0 a W 9 u M S 9 h Y n c t M D I t c m V j e W N s a W 5 n L 1 F 1 Z W x s Z S 5 7 Q 2 9 s d W 1 u M j c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h Y n c t M D I t c m V j e W N s a W 5 n L 0 d l w 6 R u Z G V y d G V y I F R 5 c C 5 7 L D B 9 J n F 1 b 3 Q 7 L C Z x d W 9 0 O 1 N l Y 3 R p b 2 4 x L 2 F i d y 0 w M i 1 y Z W N 5 Y 2 x p b m c v U X V l b G x l L n t D b 2 x 1 b W 4 y L D F 9 J n F 1 b 3 Q 7 L C Z x d W 9 0 O 1 N l Y 3 R p b 2 4 x L 2 F i d y 0 w M i 1 y Z W N 5 Y 2 x p b m c v U X V l b G x l L n t D b 2 x 1 b W 4 z L D J 9 J n F 1 b 3 Q 7 L C Z x d W 9 0 O 1 N l Y 3 R p b 2 4 x L 2 F i d y 0 w M i 1 y Z W N 5 Y 2 x p b m c v U X V l b G x l L n t D b 2 x 1 b W 4 0 L D N 9 J n F 1 b 3 Q 7 L C Z x d W 9 0 O 1 N l Y 3 R p b 2 4 x L 2 F i d y 0 w M i 1 y Z W N 5 Y 2 x p b m c v U X V l b G x l L n t D b 2 x 1 b W 4 1 L D R 9 J n F 1 b 3 Q 7 L C Z x d W 9 0 O 1 N l Y 3 R p b 2 4 x L 2 F i d y 0 w M i 1 y Z W N 5 Y 2 x p b m c v U X V l b G x l L n t D b 2 x 1 b W 4 2 L D V 9 J n F 1 b 3 Q 7 L C Z x d W 9 0 O 1 N l Y 3 R p b 2 4 x L 2 F i d y 0 w M i 1 y Z W N 5 Y 2 x p b m c v U X V l b G x l L n t D b 2 x 1 b W 4 3 L D Z 9 J n F 1 b 3 Q 7 L C Z x d W 9 0 O 1 N l Y 3 R p b 2 4 x L 2 F i d y 0 w M i 1 y Z W N 5 Y 2 x p b m c v U X V l b G x l L n t D b 2 x 1 b W 4 4 L D d 9 J n F 1 b 3 Q 7 L C Z x d W 9 0 O 1 N l Y 3 R p b 2 4 x L 2 F i d y 0 w M i 1 y Z W N 5 Y 2 x p b m c v U X V l b G x l L n t D b 2 x 1 b W 4 5 L D h 9 J n F 1 b 3 Q 7 L C Z x d W 9 0 O 1 N l Y 3 R p b 2 4 x L 2 F i d y 0 w M i 1 y Z W N 5 Y 2 x p b m c v U X V l b G x l L n t D b 2 x 1 b W 4 x M C w 5 f S Z x d W 9 0 O y w m c X V v d D t T Z W N 0 a W 9 u M S 9 h Y n c t M D I t c m V j e W N s a W 5 n L 1 F 1 Z W x s Z S 5 7 Q 2 9 s d W 1 u M T E s M T B 9 J n F 1 b 3 Q 7 L C Z x d W 9 0 O 1 N l Y 3 R p b 2 4 x L 2 F i d y 0 w M i 1 y Z W N 5 Y 2 x p b m c v U X V l b G x l L n t D b 2 x 1 b W 4 x M i w x M X 0 m c X V v d D s s J n F 1 b 3 Q 7 U 2 V j d G l v b j E v Y W J 3 L T A y L X J l Y 3 l j b G l u Z y 9 R d W V s b G U u e 0 N v b H V t b j E z L D E y f S Z x d W 9 0 O y w m c X V v d D t T Z W N 0 a W 9 u M S 9 h Y n c t M D I t c m V j e W N s a W 5 n L 1 F 1 Z W x s Z S 5 7 Q 2 9 s d W 1 u M T Q s M T N 9 J n F 1 b 3 Q 7 L C Z x d W 9 0 O 1 N l Y 3 R p b 2 4 x L 2 F i d y 0 w M i 1 y Z W N 5 Y 2 x p b m c v U X V l b G x l L n t D b 2 x 1 b W 4 x N S w x N H 0 m c X V v d D s s J n F 1 b 3 Q 7 U 2 V j d G l v b j E v Y W J 3 L T A y L X J l Y 3 l j b G l u Z y 9 R d W V s b G U u e 0 N v b H V t b j E 2 L D E 1 f S Z x d W 9 0 O y w m c X V v d D t T Z W N 0 a W 9 u M S 9 h Y n c t M D I t c m V j e W N s a W 5 n L 1 F 1 Z W x s Z S 5 7 Q 2 9 s d W 1 u M T c s M T Z 9 J n F 1 b 3 Q 7 L C Z x d W 9 0 O 1 N l Y 3 R p b 2 4 x L 2 F i d y 0 w M i 1 y Z W N 5 Y 2 x p b m c v U X V l b G x l L n t D b 2 x 1 b W 4 x O C w x N 3 0 m c X V v d D s s J n F 1 b 3 Q 7 U 2 V j d G l v b j E v Y W J 3 L T A y L X J l Y 3 l j b G l u Z y 9 R d W V s b G U u e 0 N v b H V t b j E 5 L D E 4 f S Z x d W 9 0 O y w m c X V v d D t T Z W N 0 a W 9 u M S 9 h Y n c t M D I t c m V j e W N s a W 5 n L 1 F 1 Z W x s Z S 5 7 Q 2 9 s d W 1 u M j A s M T l 9 J n F 1 b 3 Q 7 L C Z x d W 9 0 O 1 N l Y 3 R p b 2 4 x L 2 F i d y 0 w M i 1 y Z W N 5 Y 2 x p b m c v U X V l b G x l L n t D b 2 x 1 b W 4 y M S w y M H 0 m c X V v d D s s J n F 1 b 3 Q 7 U 2 V j d G l v b j E v Y W J 3 L T A y L X J l Y 3 l j b G l u Z y 9 R d W V s b G U u e 0 N v b H V t b j I y L D I x f S Z x d W 9 0 O y w m c X V v d D t T Z W N 0 a W 9 u M S 9 h Y n c t M D I t c m V j e W N s a W 5 n L 1 F 1 Z W x s Z S 5 7 Q 2 9 s d W 1 u M j M s M j J 9 J n F 1 b 3 Q 7 L C Z x d W 9 0 O 1 N l Y 3 R p b 2 4 x L 2 F i d y 0 w M i 1 y Z W N 5 Y 2 x p b m c v U X V l b G x l L n t D b 2 x 1 b W 4 y N C w y M 3 0 m c X V v d D s s J n F 1 b 3 Q 7 U 2 V j d G l v b j E v Y W J 3 L T A y L X J l Y 3 l j b G l u Z y 9 R d W V s b G U u e 0 N v b H V t b j I 1 L D I 0 f S Z x d W 9 0 O y w m c X V v d D t T Z W N 0 a W 9 u M S 9 h Y n c t M D I t c m V j e W N s a W 5 n L 1 F 1 Z W x s Z S 5 7 Q 2 9 s d W 1 u M j Y s M j V 9 J n F 1 b 3 Q 7 L C Z x d W 9 0 O 1 N l Y 3 R p b 2 4 x L 2 F i d y 0 w M i 1 y Z W N 5 Y 2 x p b m c v U X V l b G x l L n t D b 2 x 1 b W 4 y N y w y N n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W J 3 L T A y L X J l Y 3 l j b G l u Z y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n c t M D I t c m V j e W N s a W 5 n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i d y 0 w M i 1 y Z W N 5 Y 2 x p b m c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J 3 L T A z L W Z s Y W V j a G V u d m V y Y n J h d W N o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2 F i d 1 8 w M 1 9 m b G F l Y 2 h l b n Z l c m J y Y X V j a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Z s w 6 R j a G V u d m V y Y n J h d W N o I i A v P j x F b n R y e S B U e X B l P S J S Z W N v d m V y e V R h c m d l d E N v b H V t b i I g V m F s d W U 9 I m w x I i A v P j x F b n R y e S B U e X B l P S J S Z W N v d m V y e V R h c m d l d F J v d y I g V m F s d W U 9 I m w y M C I g L z 4 8 R W 5 0 c n k g V H l w Z T 0 i R m l s b E V y c m 9 y Q 2 9 1 b n Q i I F Z h b H V l P S J s M C I g L z 4 8 R W 5 0 c n k g V H l w Z T 0 i R m l s b E x h c 3 R V c G R h d G V k I i B W Y W x 1 Z T 0 i Z D I w M j M t M T E t M j h U M D k 6 M T c 6 N D Y u O T U z M j k w N F o i I C 8 + P E V u d H J 5 I F R 5 c G U 9 I k Z p b G x D b 2 x 1 b W 5 U e X B l c y I g V m F s d W U 9 I n N C Z 1 l H Q m d Z R 0 J n W U d C Z 1 l H Q m d Z R 0 J n W U d C Z 1 l H Q m d Z R 0 J n W U c i I C 8 + P E V u d H J 5 I F R 5 c G U 9 I k Z p b G x D b 2 x 1 b W 5 O Y W 1 l c y I g V m F s d W U 9 I n N b J n F 1 b 3 Q 7 Q 2 9 s d W 1 u M S Z x d W 9 0 O y w m c X V v d D s x O T k 2 J n F 1 b 3 Q 7 L C Z x d W 9 0 O z E 5 O T c m c X V v d D s s J n F 1 b 3 Q 7 M T k 5 O C Z x d W 9 0 O y w m c X V v d D s x O T k 5 J n F 1 b 3 Q 7 L C Z x d W 9 0 O z I w M D A m c X V v d D s s J n F 1 b 3 Q 7 M j A w M S Z x d W 9 0 O y w m c X V v d D s y M D A y J n F 1 b 3 Q 7 L C Z x d W 9 0 O z I w M D M m c X V v d D s s J n F 1 b 3 Q 7 M j A w N C Z x d W 9 0 O y w m c X V v d D s y M D A 1 J n F 1 b 3 Q 7 L C Z x d W 9 0 O z I w M D Y m c X V v d D s s J n F 1 b 3 Q 7 M j A w N y Z x d W 9 0 O y w m c X V v d D s y M D A 4 J n F 1 b 3 Q 7 L C Z x d W 9 0 O z I w M D k m c X V v d D s s J n F 1 b 3 Q 7 M j A x M C Z x d W 9 0 O y w m c X V v d D s y M D E x J n F 1 b 3 Q 7 L C Z x d W 9 0 O z I w M T I m c X V v d D s s J n F 1 b 3 Q 7 M j A x M y Z x d W 9 0 O y w m c X V v d D s y M D E 0 J n F 1 b 3 Q 7 L C Z x d W 9 0 O z I w M T U m c X V v d D s s J n F 1 b 3 Q 7 M j A x N i A q K S Z x d W 9 0 O y w m c X V v d D s y M D E 3 I C o p J n F 1 b 3 Q 7 L C Z x d W 9 0 O z I w M T g m c X V v d D s s J n F 1 b 3 Q 7 M j A x O S Z x d W 9 0 O y w m c X V v d D s y M D I w J n F 1 b 3 Q 7 L C Z x d W 9 0 O z I w M j E m c X V v d D t d I i A v P j x F b n R y e S B U e X B l P S J G a W x s U 3 R h d H V z I i B W Y W x 1 Z T 0 i c 0 N v b X B s Z X R l I i A v P j x F b n R y e S B U e X B l P S J R d W V y e U l E I i B W Y W x 1 Z T 0 i c 2 Z k Z G R j M z d i L W U w N m I t N D N j N S 0 5 Z T J j L T k z Y T Y y M z N m M z k x M y I g L z 4 8 R W 5 0 c n k g V H l w Z T 0 i R m l s b E V y c m 9 y Q 2 9 k Z S I g V m F s d W U 9 I n N V b m t u b 3 d u I i A v P j x F b n R y e S B U e X B l P S J G a W x s Q 2 9 1 b n Q i I F Z h b H V l P S J s M i I g L z 4 8 R W 5 0 c n k g V H l w Z T 0 i U m V s Y X R p b 2 5 z a G l w S W 5 m b 0 N v b n R h a W 5 l c i I g V m F s d W U 9 I n N 7 J n F 1 b 3 Q 7 Y 2 9 s d W 1 u Q 2 9 1 b n Q m c X V v d D s 6 M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F i d y 0 w M y 1 m b G F l Y 2 h l b n Z l c m J y Y X V j a C 9 H Z c O k b m R l c n R l c i B U e X A u e y w w f S Z x d W 9 0 O y w m c X V v d D t T Z W N 0 a W 9 u M S 9 h Y n c t M D M t Z m x h Z W N o Z W 5 2 Z X J i c m F 1 Y 2 g v U X V l b G x l L n t D b 2 x 1 b W 4 y L D F 9 J n F 1 b 3 Q 7 L C Z x d W 9 0 O 1 N l Y 3 R p b 2 4 x L 2 F i d y 0 w M y 1 m b G F l Y 2 h l b n Z l c m J y Y X V j a C 9 R d W V s b G U u e 0 N v b H V t b j M s M n 0 m c X V v d D s s J n F 1 b 3 Q 7 U 2 V j d G l v b j E v Y W J 3 L T A z L W Z s Y W V j a G V u d m V y Y n J h d W N o L 1 F 1 Z W x s Z S 5 7 Q 2 9 s d W 1 u N C w z f S Z x d W 9 0 O y w m c X V v d D t T Z W N 0 a W 9 u M S 9 h Y n c t M D M t Z m x h Z W N o Z W 5 2 Z X J i c m F 1 Y 2 g v U X V l b G x l L n t D b 2 x 1 b W 4 1 L D R 9 J n F 1 b 3 Q 7 L C Z x d W 9 0 O 1 N l Y 3 R p b 2 4 x L 2 F i d y 0 w M y 1 m b G F l Y 2 h l b n Z l c m J y Y X V j a C 9 R d W V s b G U u e 0 N v b H V t b j Y s N X 0 m c X V v d D s s J n F 1 b 3 Q 7 U 2 V j d G l v b j E v Y W J 3 L T A z L W Z s Y W V j a G V u d m V y Y n J h d W N o L 1 F 1 Z W x s Z S 5 7 Q 2 9 s d W 1 u N y w 2 f S Z x d W 9 0 O y w m c X V v d D t T Z W N 0 a W 9 u M S 9 h Y n c t M D M t Z m x h Z W N o Z W 5 2 Z X J i c m F 1 Y 2 g v U X V l b G x l L n t D b 2 x 1 b W 4 4 L D d 9 J n F 1 b 3 Q 7 L C Z x d W 9 0 O 1 N l Y 3 R p b 2 4 x L 2 F i d y 0 w M y 1 m b G F l Y 2 h l b n Z l c m J y Y X V j a C 9 R d W V s b G U u e 0 N v b H V t b j k s O H 0 m c X V v d D s s J n F 1 b 3 Q 7 U 2 V j d G l v b j E v Y W J 3 L T A z L W Z s Y W V j a G V u d m V y Y n J h d W N o L 1 F 1 Z W x s Z S 5 7 Q 2 9 s d W 1 u M T A s O X 0 m c X V v d D s s J n F 1 b 3 Q 7 U 2 V j d G l v b j E v Y W J 3 L T A z L W Z s Y W V j a G V u d m V y Y n J h d W N o L 1 F 1 Z W x s Z S 5 7 Q 2 9 s d W 1 u M T E s M T B 9 J n F 1 b 3 Q 7 L C Z x d W 9 0 O 1 N l Y 3 R p b 2 4 x L 2 F i d y 0 w M y 1 m b G F l Y 2 h l b n Z l c m J y Y X V j a C 9 R d W V s b G U u e 0 N v b H V t b j E y L D E x f S Z x d W 9 0 O y w m c X V v d D t T Z W N 0 a W 9 u M S 9 h Y n c t M D M t Z m x h Z W N o Z W 5 2 Z X J i c m F 1 Y 2 g v U X V l b G x l L n t D b 2 x 1 b W 4 x M y w x M n 0 m c X V v d D s s J n F 1 b 3 Q 7 U 2 V j d G l v b j E v Y W J 3 L T A z L W Z s Y W V j a G V u d m V y Y n J h d W N o L 1 F 1 Z W x s Z S 5 7 Q 2 9 s d W 1 u M T Q s M T N 9 J n F 1 b 3 Q 7 L C Z x d W 9 0 O 1 N l Y 3 R p b 2 4 x L 2 F i d y 0 w M y 1 m b G F l Y 2 h l b n Z l c m J y Y X V j a C 9 R d W V s b G U u e 0 N v b H V t b j E 1 L D E 0 f S Z x d W 9 0 O y w m c X V v d D t T Z W N 0 a W 9 u M S 9 h Y n c t M D M t Z m x h Z W N o Z W 5 2 Z X J i c m F 1 Y 2 g v U X V l b G x l L n t D b 2 x 1 b W 4 x N i w x N X 0 m c X V v d D s s J n F 1 b 3 Q 7 U 2 V j d G l v b j E v Y W J 3 L T A z L W Z s Y W V j a G V u d m V y Y n J h d W N o L 1 F 1 Z W x s Z S 5 7 Q 2 9 s d W 1 u M T c s M T Z 9 J n F 1 b 3 Q 7 L C Z x d W 9 0 O 1 N l Y 3 R p b 2 4 x L 2 F i d y 0 w M y 1 m b G F l Y 2 h l b n Z l c m J y Y X V j a C 9 R d W V s b G U u e 0 N v b H V t b j E 4 L D E 3 f S Z x d W 9 0 O y w m c X V v d D t T Z W N 0 a W 9 u M S 9 h Y n c t M D M t Z m x h Z W N o Z W 5 2 Z X J i c m F 1 Y 2 g v U X V l b G x l L n t D b 2 x 1 b W 4 x O S w x O H 0 m c X V v d D s s J n F 1 b 3 Q 7 U 2 V j d G l v b j E v Y W J 3 L T A z L W Z s Y W V j a G V u d m V y Y n J h d W N o L 1 F 1 Z W x s Z S 5 7 Q 2 9 s d W 1 u M j A s M T l 9 J n F 1 b 3 Q 7 L C Z x d W 9 0 O 1 N l Y 3 R p b 2 4 x L 2 F i d y 0 w M y 1 m b G F l Y 2 h l b n Z l c m J y Y X V j a C 9 R d W V s b G U u e 0 N v b H V t b j I x L D I w f S Z x d W 9 0 O y w m c X V v d D t T Z W N 0 a W 9 u M S 9 h Y n c t M D M t Z m x h Z W N o Z W 5 2 Z X J i c m F 1 Y 2 g v U X V l b G x l L n t D b 2 x 1 b W 4 y M i w y M X 0 m c X V v d D s s J n F 1 b 3 Q 7 U 2 V j d G l v b j E v Y W J 3 L T A z L W Z s Y W V j a G V u d m V y Y n J h d W N o L 1 F 1 Z W x s Z S 5 7 Q 2 9 s d W 1 u M j M s M j J 9 J n F 1 b 3 Q 7 L C Z x d W 9 0 O 1 N l Y 3 R p b 2 4 x L 2 F i d y 0 w M y 1 m b G F l Y 2 h l b n Z l c m J y Y X V j a C 9 R d W V s b G U u e 0 N v b H V t b j I 0 L D I z f S Z x d W 9 0 O y w m c X V v d D t T Z W N 0 a W 9 u M S 9 h Y n c t M D M t Z m x h Z W N o Z W 5 2 Z X J i c m F 1 Y 2 g v U X V l b G x l L n t D b 2 x 1 b W 4 y N S w y N H 0 m c X V v d D s s J n F 1 b 3 Q 7 U 2 V j d G l v b j E v Y W J 3 L T A z L W Z s Y W V j a G V u d m V y Y n J h d W N o L 1 F 1 Z W x s Z S 5 7 Q 2 9 s d W 1 u M j Y s M j V 9 J n F 1 b 3 Q 7 L C Z x d W 9 0 O 1 N l Y 3 R p b 2 4 x L 2 F i d y 0 w M y 1 m b G F l Y 2 h l b n Z l c m J y Y X V j a C 9 R d W V s b G U u e 0 N v b H V t b j I 3 L D I 2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Y W J 3 L T A z L W Z s Y W V j a G V u d m V y Y n J h d W N o L 0 d l w 6 R u Z G V y d G V y I F R 5 c C 5 7 L D B 9 J n F 1 b 3 Q 7 L C Z x d W 9 0 O 1 N l Y 3 R p b 2 4 x L 2 F i d y 0 w M y 1 m b G F l Y 2 h l b n Z l c m J y Y X V j a C 9 R d W V s b G U u e 0 N v b H V t b j I s M X 0 m c X V v d D s s J n F 1 b 3 Q 7 U 2 V j d G l v b j E v Y W J 3 L T A z L W Z s Y W V j a G V u d m V y Y n J h d W N o L 1 F 1 Z W x s Z S 5 7 Q 2 9 s d W 1 u M y w y f S Z x d W 9 0 O y w m c X V v d D t T Z W N 0 a W 9 u M S 9 h Y n c t M D M t Z m x h Z W N o Z W 5 2 Z X J i c m F 1 Y 2 g v U X V l b G x l L n t D b 2 x 1 b W 4 0 L D N 9 J n F 1 b 3 Q 7 L C Z x d W 9 0 O 1 N l Y 3 R p b 2 4 x L 2 F i d y 0 w M y 1 m b G F l Y 2 h l b n Z l c m J y Y X V j a C 9 R d W V s b G U u e 0 N v b H V t b j U s N H 0 m c X V v d D s s J n F 1 b 3 Q 7 U 2 V j d G l v b j E v Y W J 3 L T A z L W Z s Y W V j a G V u d m V y Y n J h d W N o L 1 F 1 Z W x s Z S 5 7 Q 2 9 s d W 1 u N i w 1 f S Z x d W 9 0 O y w m c X V v d D t T Z W N 0 a W 9 u M S 9 h Y n c t M D M t Z m x h Z W N o Z W 5 2 Z X J i c m F 1 Y 2 g v U X V l b G x l L n t D b 2 x 1 b W 4 3 L D Z 9 J n F 1 b 3 Q 7 L C Z x d W 9 0 O 1 N l Y 3 R p b 2 4 x L 2 F i d y 0 w M y 1 m b G F l Y 2 h l b n Z l c m J y Y X V j a C 9 R d W V s b G U u e 0 N v b H V t b j g s N 3 0 m c X V v d D s s J n F 1 b 3 Q 7 U 2 V j d G l v b j E v Y W J 3 L T A z L W Z s Y W V j a G V u d m V y Y n J h d W N o L 1 F 1 Z W x s Z S 5 7 Q 2 9 s d W 1 u O S w 4 f S Z x d W 9 0 O y w m c X V v d D t T Z W N 0 a W 9 u M S 9 h Y n c t M D M t Z m x h Z W N o Z W 5 2 Z X J i c m F 1 Y 2 g v U X V l b G x l L n t D b 2 x 1 b W 4 x M C w 5 f S Z x d W 9 0 O y w m c X V v d D t T Z W N 0 a W 9 u M S 9 h Y n c t M D M t Z m x h Z W N o Z W 5 2 Z X J i c m F 1 Y 2 g v U X V l b G x l L n t D b 2 x 1 b W 4 x M S w x M H 0 m c X V v d D s s J n F 1 b 3 Q 7 U 2 V j d G l v b j E v Y W J 3 L T A z L W Z s Y W V j a G V u d m V y Y n J h d W N o L 1 F 1 Z W x s Z S 5 7 Q 2 9 s d W 1 u M T I s M T F 9 J n F 1 b 3 Q 7 L C Z x d W 9 0 O 1 N l Y 3 R p b 2 4 x L 2 F i d y 0 w M y 1 m b G F l Y 2 h l b n Z l c m J y Y X V j a C 9 R d W V s b G U u e 0 N v b H V t b j E z L D E y f S Z x d W 9 0 O y w m c X V v d D t T Z W N 0 a W 9 u M S 9 h Y n c t M D M t Z m x h Z W N o Z W 5 2 Z X J i c m F 1 Y 2 g v U X V l b G x l L n t D b 2 x 1 b W 4 x N C w x M 3 0 m c X V v d D s s J n F 1 b 3 Q 7 U 2 V j d G l v b j E v Y W J 3 L T A z L W Z s Y W V j a G V u d m V y Y n J h d W N o L 1 F 1 Z W x s Z S 5 7 Q 2 9 s d W 1 u M T U s M T R 9 J n F 1 b 3 Q 7 L C Z x d W 9 0 O 1 N l Y 3 R p b 2 4 x L 2 F i d y 0 w M y 1 m b G F l Y 2 h l b n Z l c m J y Y X V j a C 9 R d W V s b G U u e 0 N v b H V t b j E 2 L D E 1 f S Z x d W 9 0 O y w m c X V v d D t T Z W N 0 a W 9 u M S 9 h Y n c t M D M t Z m x h Z W N o Z W 5 2 Z X J i c m F 1 Y 2 g v U X V l b G x l L n t D b 2 x 1 b W 4 x N y w x N n 0 m c X V v d D s s J n F 1 b 3 Q 7 U 2 V j d G l v b j E v Y W J 3 L T A z L W Z s Y W V j a G V u d m V y Y n J h d W N o L 1 F 1 Z W x s Z S 5 7 Q 2 9 s d W 1 u M T g s M T d 9 J n F 1 b 3 Q 7 L C Z x d W 9 0 O 1 N l Y 3 R p b 2 4 x L 2 F i d y 0 w M y 1 m b G F l Y 2 h l b n Z l c m J y Y X V j a C 9 R d W V s b G U u e 0 N v b H V t b j E 5 L D E 4 f S Z x d W 9 0 O y w m c X V v d D t T Z W N 0 a W 9 u M S 9 h Y n c t M D M t Z m x h Z W N o Z W 5 2 Z X J i c m F 1 Y 2 g v U X V l b G x l L n t D b 2 x 1 b W 4 y M C w x O X 0 m c X V v d D s s J n F 1 b 3 Q 7 U 2 V j d G l v b j E v Y W J 3 L T A z L W Z s Y W V j a G V u d m V y Y n J h d W N o L 1 F 1 Z W x s Z S 5 7 Q 2 9 s d W 1 u M j E s M j B 9 J n F 1 b 3 Q 7 L C Z x d W 9 0 O 1 N l Y 3 R p b 2 4 x L 2 F i d y 0 w M y 1 m b G F l Y 2 h l b n Z l c m J y Y X V j a C 9 R d W V s b G U u e 0 N v b H V t b j I y L D I x f S Z x d W 9 0 O y w m c X V v d D t T Z W N 0 a W 9 u M S 9 h Y n c t M D M t Z m x h Z W N o Z W 5 2 Z X J i c m F 1 Y 2 g v U X V l b G x l L n t D b 2 x 1 b W 4 y M y w y M n 0 m c X V v d D s s J n F 1 b 3 Q 7 U 2 V j d G l v b j E v Y W J 3 L T A z L W Z s Y W V j a G V u d m V y Y n J h d W N o L 1 F 1 Z W x s Z S 5 7 Q 2 9 s d W 1 u M j Q s M j N 9 J n F 1 b 3 Q 7 L C Z x d W 9 0 O 1 N l Y 3 R p b 2 4 x L 2 F i d y 0 w M y 1 m b G F l Y 2 h l b n Z l c m J y Y X V j a C 9 R d W V s b G U u e 0 N v b H V t b j I 1 L D I 0 f S Z x d W 9 0 O y w m c X V v d D t T Z W N 0 a W 9 u M S 9 h Y n c t M D M t Z m x h Z W N o Z W 5 2 Z X J i c m F 1 Y 2 g v U X V l b G x l L n t D b 2 x 1 b W 4 y N i w y N X 0 m c X V v d D s s J n F 1 b 3 Q 7 U 2 V j d G l v b j E v Y W J 3 L T A z L W Z s Y W V j a G V u d m V y Y n J h d W N o L 1 F 1 Z W x s Z S 5 7 Q 2 9 s d W 1 u M j c s M j Z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F i d y 0 w M y 1 m b G F l Y 2 h l b n Z l c m J y Y X V j a C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n c t M D M t Z m x h Z W N o Z W 5 2 Z X J i c m F 1 Y 2 g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J 3 L T A z L W Z s Y W V j a G V u d m V y Y n J h d W N o L 0 g l Q z M l Q j Z o Z X I l M j B n Z X N 0 d W Z 0 Z S U y M E h l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i d y 0 w N C 1 z a W V k b H V u Z 3 N m b G F l Y 2 h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2 F i d 1 8 w N F 9 z a W V k b H V u Z 3 N m b G F l Y 2 h l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l l Z G x 1 b m d z Z m z D p G N o Z S I g L z 4 8 R W 5 0 c n k g V H l w Z T 0 i U m V j b 3 Z l c n l U Y X J n Z X R D b 2 x 1 b W 4 i I F Z h b H V l P S J s M S I g L z 4 8 R W 5 0 c n k g V H l w Z T 0 i U m V j b 3 Z l c n l U Y X J n Z X R S b 3 c i I F Z h b H V l P S J s M j A i I C 8 + P E V u d H J 5 I F R 5 c G U 9 I k Z p b G x F c n J v c k N v d W 5 0 I i B W Y W x 1 Z T 0 i b D A i I C 8 + P E V u d H J 5 I F R 5 c G U 9 I k Z p b G x M Y X N 0 V X B k Y X R l Z C I g V m F s d W U 9 I m Q y M D I z L T E x L T I 4 V D A 5 O j E 3 O j U x L j A z N z Y y O T d a I i A v P j x F b n R y e S B U e X B l P S J G a W x s Q 2 9 s d W 1 u V H l w Z X M i I F Z h b H V l P S J z Q m d Z R 0 J n W U d C Z 1 l H Q m d Z R 0 J n W U d C Z 1 l H Q m d Z R 0 J n W U d C Z 1 l H I i A v P j x F b n R y e S B U e X B l P S J G a W x s Q 2 9 s d W 1 u T m F t Z X M i I F Z h b H V l P S J z W y Z x d W 9 0 O 0 N v b H V t b j E m c X V v d D s s J n F 1 b 3 Q 7 M T k 5 N i Z x d W 9 0 O y w m c X V v d D s x O T k 3 J n F 1 b 3 Q 7 L C Z x d W 9 0 O z E 5 O T g m c X V v d D s s J n F 1 b 3 Q 7 M T k 5 O S Z x d W 9 0 O y w m c X V v d D s y M D A w J n F 1 b 3 Q 7 L C Z x d W 9 0 O z I w M D E m c X V v d D s s J n F 1 b 3 Q 7 M j A w M i Z x d W 9 0 O y w m c X V v d D s y M D A z J n F 1 b 3 Q 7 L C Z x d W 9 0 O z I w M D Q m c X V v d D s s J n F 1 b 3 Q 7 M j A w N S Z x d W 9 0 O y w m c X V v d D s y M D A 2 J n F 1 b 3 Q 7 L C Z x d W 9 0 O z I w M D c m c X V v d D s s J n F 1 b 3 Q 7 M j A w O C Z x d W 9 0 O y w m c X V v d D s y M D A 5 J n F 1 b 3 Q 7 L C Z x d W 9 0 O z I w M T A m c X V v d D s s J n F 1 b 3 Q 7 M j A x M S Z x d W 9 0 O y w m c X V v d D s y M D E y J n F 1 b 3 Q 7 L C Z x d W 9 0 O z I w M T M m c X V v d D s s J n F 1 b 3 Q 7 M j A x N C Z x d W 9 0 O y w m c X V v d D s y M D E 1 J n F 1 b 3 Q 7 L C Z x d W 9 0 O z I w M T Y m c X V v d D s s J n F 1 b 3 Q 7 M j A x N y Z x d W 9 0 O y w m c X V v d D s y M D E 4 J n F 1 b 3 Q 7 L C Z x d W 9 0 O z I w M T k m c X V v d D s s J n F 1 b 3 Q 7 M j A y M C Z x d W 9 0 O y w m c X V v d D s y M D I x J n F 1 b 3 Q 7 X S I g L z 4 8 R W 5 0 c n k g V H l w Z T 0 i R m l s b F N 0 Y X R 1 c y I g V m F s d W U 9 I n N D b 2 1 w b G V 0 Z S I g L z 4 8 R W 5 0 c n k g V H l w Z T 0 i U X V l c n l J R C I g V m F s d W U 9 I n N j M W I x O G N m Y y 0 2 M j h i L T R i Y 2 Y t O T M 2 M i 1 j M 2 M 4 Y z A x M G I 2 O D c i I C 8 + P E V u d H J 5 I F R 5 c G U 9 I k Z p b G x F c n J v c k N v Z G U i I F Z h b H V l P S J z V W 5 r b m 9 3 b i I g L z 4 8 R W 5 0 c n k g V H l w Z T 0 i R m l s b E N v d W 5 0 I i B W Y W x 1 Z T 0 i b D I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Y n c t M D Q t c 2 l l Z G x 1 b m d z Z m x h Z W N o Z S 9 H Z c O k b m R l c n R l c i B U e X A u e y w w f S Z x d W 9 0 O y w m c X V v d D t T Z W N 0 a W 9 u M S 9 h Y n c t M D Q t c 2 l l Z G x 1 b m d z Z m x h Z W N o Z S 9 R d W V s b G U u e 0 N v b H V t b j I s M X 0 m c X V v d D s s J n F 1 b 3 Q 7 U 2 V j d G l v b j E v Y W J 3 L T A 0 L X N p Z W R s d W 5 n c 2 Z s Y W V j a G U v U X V l b G x l L n t D b 2 x 1 b W 4 z L D J 9 J n F 1 b 3 Q 7 L C Z x d W 9 0 O 1 N l Y 3 R p b 2 4 x L 2 F i d y 0 w N C 1 z a W V k b H V u Z 3 N m b G F l Y 2 h l L 1 F 1 Z W x s Z S 5 7 Q 2 9 s d W 1 u N C w z f S Z x d W 9 0 O y w m c X V v d D t T Z W N 0 a W 9 u M S 9 h Y n c t M D Q t c 2 l l Z G x 1 b m d z Z m x h Z W N o Z S 9 R d W V s b G U u e 0 N v b H V t b j U s N H 0 m c X V v d D s s J n F 1 b 3 Q 7 U 2 V j d G l v b j E v Y W J 3 L T A 0 L X N p Z W R s d W 5 n c 2 Z s Y W V j a G U v U X V l b G x l L n t D b 2 x 1 b W 4 2 L D V 9 J n F 1 b 3 Q 7 L C Z x d W 9 0 O 1 N l Y 3 R p b 2 4 x L 2 F i d y 0 w N C 1 z a W V k b H V u Z 3 N m b G F l Y 2 h l L 1 F 1 Z W x s Z S 5 7 Q 2 9 s d W 1 u N y w 2 f S Z x d W 9 0 O y w m c X V v d D t T Z W N 0 a W 9 u M S 9 h Y n c t M D Q t c 2 l l Z G x 1 b m d z Z m x h Z W N o Z S 9 R d W V s b G U u e 0 N v b H V t b j g s N 3 0 m c X V v d D s s J n F 1 b 3 Q 7 U 2 V j d G l v b j E v Y W J 3 L T A 0 L X N p Z W R s d W 5 n c 2 Z s Y W V j a G U v U X V l b G x l L n t D b 2 x 1 b W 4 5 L D h 9 J n F 1 b 3 Q 7 L C Z x d W 9 0 O 1 N l Y 3 R p b 2 4 x L 2 F i d y 0 w N C 1 z a W V k b H V u Z 3 N m b G F l Y 2 h l L 1 F 1 Z W x s Z S 5 7 Q 2 9 s d W 1 u M T A s O X 0 m c X V v d D s s J n F 1 b 3 Q 7 U 2 V j d G l v b j E v Y W J 3 L T A 0 L X N p Z W R s d W 5 n c 2 Z s Y W V j a G U v U X V l b G x l L n t D b 2 x 1 b W 4 x M S w x M H 0 m c X V v d D s s J n F 1 b 3 Q 7 U 2 V j d G l v b j E v Y W J 3 L T A 0 L X N p Z W R s d W 5 n c 2 Z s Y W V j a G U v U X V l b G x l L n t D b 2 x 1 b W 4 x M i w x M X 0 m c X V v d D s s J n F 1 b 3 Q 7 U 2 V j d G l v b j E v Y W J 3 L T A 0 L X N p Z W R s d W 5 n c 2 Z s Y W V j a G U v U X V l b G x l L n t D b 2 x 1 b W 4 x M y w x M n 0 m c X V v d D s s J n F 1 b 3 Q 7 U 2 V j d G l v b j E v Y W J 3 L T A 0 L X N p Z W R s d W 5 n c 2 Z s Y W V j a G U v U X V l b G x l L n t D b 2 x 1 b W 4 x N C w x M 3 0 m c X V v d D s s J n F 1 b 3 Q 7 U 2 V j d G l v b j E v Y W J 3 L T A 0 L X N p Z W R s d W 5 n c 2 Z s Y W V j a G U v U X V l b G x l L n t D b 2 x 1 b W 4 x N S w x N H 0 m c X V v d D s s J n F 1 b 3 Q 7 U 2 V j d G l v b j E v Y W J 3 L T A 0 L X N p Z W R s d W 5 n c 2 Z s Y W V j a G U v U X V l b G x l L n t D b 2 x 1 b W 4 x N i w x N X 0 m c X V v d D s s J n F 1 b 3 Q 7 U 2 V j d G l v b j E v Y W J 3 L T A 0 L X N p Z W R s d W 5 n c 2 Z s Y W V j a G U v U X V l b G x l L n t D b 2 x 1 b W 4 x N y w x N n 0 m c X V v d D s s J n F 1 b 3 Q 7 U 2 V j d G l v b j E v Y W J 3 L T A 0 L X N p Z W R s d W 5 n c 2 Z s Y W V j a G U v U X V l b G x l L n t D b 2 x 1 b W 4 x O C w x N 3 0 m c X V v d D s s J n F 1 b 3 Q 7 U 2 V j d G l v b j E v Y W J 3 L T A 0 L X N p Z W R s d W 5 n c 2 Z s Y W V j a G U v U X V l b G x l L n t D b 2 x 1 b W 4 x O S w x O H 0 m c X V v d D s s J n F 1 b 3 Q 7 U 2 V j d G l v b j E v Y W J 3 L T A 0 L X N p Z W R s d W 5 n c 2 Z s Y W V j a G U v U X V l b G x l L n t D b 2 x 1 b W 4 y M C w x O X 0 m c X V v d D s s J n F 1 b 3 Q 7 U 2 V j d G l v b j E v Y W J 3 L T A 0 L X N p Z W R s d W 5 n c 2 Z s Y W V j a G U v U X V l b G x l L n t D b 2 x 1 b W 4 y M S w y M H 0 m c X V v d D s s J n F 1 b 3 Q 7 U 2 V j d G l v b j E v Y W J 3 L T A 0 L X N p Z W R s d W 5 n c 2 Z s Y W V j a G U v U X V l b G x l L n t D b 2 x 1 b W 4 y M i w y M X 0 m c X V v d D s s J n F 1 b 3 Q 7 U 2 V j d G l v b j E v Y W J 3 L T A 0 L X N p Z W R s d W 5 n c 2 Z s Y W V j a G U v U X V l b G x l L n t D b 2 x 1 b W 4 y M y w y M n 0 m c X V v d D s s J n F 1 b 3 Q 7 U 2 V j d G l v b j E v Y W J 3 L T A 0 L X N p Z W R s d W 5 n c 2 Z s Y W V j a G U v U X V l b G x l L n t D b 2 x 1 b W 4 y N C w y M 3 0 m c X V v d D s s J n F 1 b 3 Q 7 U 2 V j d G l v b j E v Y W J 3 L T A 0 L X N p Z W R s d W 5 n c 2 Z s Y W V j a G U v U X V l b G x l L n t D b 2 x 1 b W 4 y N S w y N H 0 m c X V v d D s s J n F 1 b 3 Q 7 U 2 V j d G l v b j E v Y W J 3 L T A 0 L X N p Z W R s d W 5 n c 2 Z s Y W V j a G U v U X V l b G x l L n t D b 2 x 1 b W 4 y N i w y N X 0 m c X V v d D s s J n F 1 b 3 Q 7 U 2 V j d G l v b j E v Y W J 3 L T A 0 L X N p Z W R s d W 5 n c 2 Z s Y W V j a G U v U X V l b G x l L n t D b 2 x 1 b W 4 y N y w y N n 0 m c X V v d D t d L C Z x d W 9 0 O 0 N v b H V t b k N v d W 5 0 J n F 1 b 3 Q 7 O j I 3 L C Z x d W 9 0 O 0 t l e U N v b H V t b k 5 h b W V z J n F 1 b 3 Q 7 O l t d L C Z x d W 9 0 O 0 N v b H V t b k l k Z W 5 0 a X R p Z X M m c X V v d D s 6 W y Z x d W 9 0 O 1 N l Y 3 R p b 2 4 x L 2 F i d y 0 w N C 1 z a W V k b H V u Z 3 N m b G F l Y 2 h l L 0 d l w 6 R u Z G V y d G V y I F R 5 c C 5 7 L D B 9 J n F 1 b 3 Q 7 L C Z x d W 9 0 O 1 N l Y 3 R p b 2 4 x L 2 F i d y 0 w N C 1 z a W V k b H V u Z 3 N m b G F l Y 2 h l L 1 F 1 Z W x s Z S 5 7 Q 2 9 s d W 1 u M i w x f S Z x d W 9 0 O y w m c X V v d D t T Z W N 0 a W 9 u M S 9 h Y n c t M D Q t c 2 l l Z G x 1 b m d z Z m x h Z W N o Z S 9 R d W V s b G U u e 0 N v b H V t b j M s M n 0 m c X V v d D s s J n F 1 b 3 Q 7 U 2 V j d G l v b j E v Y W J 3 L T A 0 L X N p Z W R s d W 5 n c 2 Z s Y W V j a G U v U X V l b G x l L n t D b 2 x 1 b W 4 0 L D N 9 J n F 1 b 3 Q 7 L C Z x d W 9 0 O 1 N l Y 3 R p b 2 4 x L 2 F i d y 0 w N C 1 z a W V k b H V u Z 3 N m b G F l Y 2 h l L 1 F 1 Z W x s Z S 5 7 Q 2 9 s d W 1 u N S w 0 f S Z x d W 9 0 O y w m c X V v d D t T Z W N 0 a W 9 u M S 9 h Y n c t M D Q t c 2 l l Z G x 1 b m d z Z m x h Z W N o Z S 9 R d W V s b G U u e 0 N v b H V t b j Y s N X 0 m c X V v d D s s J n F 1 b 3 Q 7 U 2 V j d G l v b j E v Y W J 3 L T A 0 L X N p Z W R s d W 5 n c 2 Z s Y W V j a G U v U X V l b G x l L n t D b 2 x 1 b W 4 3 L D Z 9 J n F 1 b 3 Q 7 L C Z x d W 9 0 O 1 N l Y 3 R p b 2 4 x L 2 F i d y 0 w N C 1 z a W V k b H V u Z 3 N m b G F l Y 2 h l L 1 F 1 Z W x s Z S 5 7 Q 2 9 s d W 1 u O C w 3 f S Z x d W 9 0 O y w m c X V v d D t T Z W N 0 a W 9 u M S 9 h Y n c t M D Q t c 2 l l Z G x 1 b m d z Z m x h Z W N o Z S 9 R d W V s b G U u e 0 N v b H V t b j k s O H 0 m c X V v d D s s J n F 1 b 3 Q 7 U 2 V j d G l v b j E v Y W J 3 L T A 0 L X N p Z W R s d W 5 n c 2 Z s Y W V j a G U v U X V l b G x l L n t D b 2 x 1 b W 4 x M C w 5 f S Z x d W 9 0 O y w m c X V v d D t T Z W N 0 a W 9 u M S 9 h Y n c t M D Q t c 2 l l Z G x 1 b m d z Z m x h Z W N o Z S 9 R d W V s b G U u e 0 N v b H V t b j E x L D E w f S Z x d W 9 0 O y w m c X V v d D t T Z W N 0 a W 9 u M S 9 h Y n c t M D Q t c 2 l l Z G x 1 b m d z Z m x h Z W N o Z S 9 R d W V s b G U u e 0 N v b H V t b j E y L D E x f S Z x d W 9 0 O y w m c X V v d D t T Z W N 0 a W 9 u M S 9 h Y n c t M D Q t c 2 l l Z G x 1 b m d z Z m x h Z W N o Z S 9 R d W V s b G U u e 0 N v b H V t b j E z L D E y f S Z x d W 9 0 O y w m c X V v d D t T Z W N 0 a W 9 u M S 9 h Y n c t M D Q t c 2 l l Z G x 1 b m d z Z m x h Z W N o Z S 9 R d W V s b G U u e 0 N v b H V t b j E 0 L D E z f S Z x d W 9 0 O y w m c X V v d D t T Z W N 0 a W 9 u M S 9 h Y n c t M D Q t c 2 l l Z G x 1 b m d z Z m x h Z W N o Z S 9 R d W V s b G U u e 0 N v b H V t b j E 1 L D E 0 f S Z x d W 9 0 O y w m c X V v d D t T Z W N 0 a W 9 u M S 9 h Y n c t M D Q t c 2 l l Z G x 1 b m d z Z m x h Z W N o Z S 9 R d W V s b G U u e 0 N v b H V t b j E 2 L D E 1 f S Z x d W 9 0 O y w m c X V v d D t T Z W N 0 a W 9 u M S 9 h Y n c t M D Q t c 2 l l Z G x 1 b m d z Z m x h Z W N o Z S 9 R d W V s b G U u e 0 N v b H V t b j E 3 L D E 2 f S Z x d W 9 0 O y w m c X V v d D t T Z W N 0 a W 9 u M S 9 h Y n c t M D Q t c 2 l l Z G x 1 b m d z Z m x h Z W N o Z S 9 R d W V s b G U u e 0 N v b H V t b j E 4 L D E 3 f S Z x d W 9 0 O y w m c X V v d D t T Z W N 0 a W 9 u M S 9 h Y n c t M D Q t c 2 l l Z G x 1 b m d z Z m x h Z W N o Z S 9 R d W V s b G U u e 0 N v b H V t b j E 5 L D E 4 f S Z x d W 9 0 O y w m c X V v d D t T Z W N 0 a W 9 u M S 9 h Y n c t M D Q t c 2 l l Z G x 1 b m d z Z m x h Z W N o Z S 9 R d W V s b G U u e 0 N v b H V t b j I w L D E 5 f S Z x d W 9 0 O y w m c X V v d D t T Z W N 0 a W 9 u M S 9 h Y n c t M D Q t c 2 l l Z G x 1 b m d z Z m x h Z W N o Z S 9 R d W V s b G U u e 0 N v b H V t b j I x L D I w f S Z x d W 9 0 O y w m c X V v d D t T Z W N 0 a W 9 u M S 9 h Y n c t M D Q t c 2 l l Z G x 1 b m d z Z m x h Z W N o Z S 9 R d W V s b G U u e 0 N v b H V t b j I y L D I x f S Z x d W 9 0 O y w m c X V v d D t T Z W N 0 a W 9 u M S 9 h Y n c t M D Q t c 2 l l Z G x 1 b m d z Z m x h Z W N o Z S 9 R d W V s b G U u e 0 N v b H V t b j I z L D I y f S Z x d W 9 0 O y w m c X V v d D t T Z W N 0 a W 9 u M S 9 h Y n c t M D Q t c 2 l l Z G x 1 b m d z Z m x h Z W N o Z S 9 R d W V s b G U u e 0 N v b H V t b j I 0 L D I z f S Z x d W 9 0 O y w m c X V v d D t T Z W N 0 a W 9 u M S 9 h Y n c t M D Q t c 2 l l Z G x 1 b m d z Z m x h Z W N o Z S 9 R d W V s b G U u e 0 N v b H V t b j I 1 L D I 0 f S Z x d W 9 0 O y w m c X V v d D t T Z W N 0 a W 9 u M S 9 h Y n c t M D Q t c 2 l l Z G x 1 b m d z Z m x h Z W N o Z S 9 R d W V s b G U u e 0 N v b H V t b j I 2 L D I 1 f S Z x d W 9 0 O y w m c X V v d D t T Z W N 0 a W 9 u M S 9 h Y n c t M D Q t c 2 l l Z G x 1 b m d z Z m x h Z W N o Z S 9 R d W V s b G U u e 0 N v b H V t b j I 3 L D I 2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h Y n c t M D Q t c 2 l l Z G x 1 b m d z Z m x h Z W N o Z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n c t M D Q t c 2 l l Z G x 1 b m d z Z m x h Z W N o Z S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n c t M D Q t c 2 l l Z G x 1 b m d z Z m x h Z W N o Z S 9 I J U M z J U I 2 a G V y J T I w Z 2 V z d H V m d G U l M j B I Z W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n c t M D U t c 2 N o d 2 V y b W V 0 Y W x s Z W l u d H J h Z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h Y n d f M D V f c 2 N o d 2 V y b W V 0 Y W x s Z W l u d H J h Z y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j a H d l c m 1 l d G F s b G V p b n R y Y W c i I C 8 + P E V u d H J 5 I F R 5 c G U 9 I l J l Y 2 9 2 Z X J 5 V G F y Z 2 V 0 Q 2 9 s d W 1 u I i B W Y W x 1 Z T 0 i b D E i I C 8 + P E V u d H J 5 I F R 5 c G U 9 I l J l Y 2 9 2 Z X J 5 V G F y Z 2 V 0 U m 9 3 I i B W Y W x 1 Z T 0 i b D I w I i A v P j x F b n R y e S B U e X B l P S J G a W x s R X J y b 3 J D b 3 V u d C I g V m F s d W U 9 I m w w I i A v P j x F b n R y e S B U e X B l P S J G a W x s T G F z d F V w Z G F 0 Z W Q i I F Z h b H V l P S J k M j A y M y 0 x M S 0 y O F Q w O T o x N z o 1 M C 4 5 M D A 5 N z c x W i I g L z 4 8 R W 5 0 c n k g V H l w Z T 0 i R m l s b E N v b H V t b l R 5 c G V z I i B W Y W x 1 Z T 0 i c 0 J n W U d C Z 1 l H Q m d Z R 0 J n W U d C Z 1 l H Q m d Z R 0 J n W U d C Z 1 l H Q m d Z R 0 J n W U d C Z 1 l H Q m d Z R 0 J n W T 0 i I C 8 + P E V u d H J 5 I F R 5 c G U 9 I k Z p b G x D b 2 x 1 b W 5 O Y W 1 l c y I g V m F s d W U 9 I n N b J n F 1 b 3 Q 7 Q 2 9 s d W 1 u M S Z x d W 9 0 O y w m c X V v d D s x O T g 2 J n F 1 b 3 Q 7 L C Z x d W 9 0 O z E 5 O D c m c X V v d D s s J n F 1 b 3 Q 7 M T k 4 O C Z x d W 9 0 O y w m c X V v d D s x O T g 5 J n F 1 b 3 Q 7 L C Z x d W 9 0 O z E 5 O T A m c X V v d D s s J n F 1 b 3 Q 7 M T k 5 M S Z x d W 9 0 O y w m c X V v d D s x O T k y J n F 1 b 3 Q 7 L C Z x d W 9 0 O z E 5 O T M m c X V v d D s s J n F 1 b 3 Q 7 M T k 5 N C Z x d W 9 0 O y w m c X V v d D s x O T k 1 J n F 1 b 3 Q 7 L C Z x d W 9 0 O z E 5 O T Y m c X V v d D s s J n F 1 b 3 Q 7 M T k 5 N y Z x d W 9 0 O y w m c X V v d D s x O T k 4 J n F 1 b 3 Q 7 L C Z x d W 9 0 O z E 5 O T k m c X V v d D s s J n F 1 b 3 Q 7 M j A w M C Z x d W 9 0 O y w m c X V v d D s y M D A x J n F 1 b 3 Q 7 L C Z x d W 9 0 O z I w M D I m c X V v d D s s J n F 1 b 3 Q 7 M j A w M y Z x d W 9 0 O y w m c X V v d D s y M D A 0 J n F 1 b 3 Q 7 L C Z x d W 9 0 O z I w M D U m c X V v d D s s J n F 1 b 3 Q 7 M j A w N i Z x d W 9 0 O y w m c X V v d D s y M D A 3 J n F 1 b 3 Q 7 L C Z x d W 9 0 O z I w M D g m c X V v d D s s J n F 1 b 3 Q 7 M j A w O S Z x d W 9 0 O y w m c X V v d D s y M D E w J n F 1 b 3 Q 7 L C Z x d W 9 0 O z I w M T E m c X V v d D s s J n F 1 b 3 Q 7 M j A x M i Z x d W 9 0 O y w m c X V v d D s y M D E z J n F 1 b 3 Q 7 L C Z x d W 9 0 O z I w M T Q m c X V v d D s s J n F 1 b 3 Q 7 M j A x N S Z x d W 9 0 O y w m c X V v d D s y M D E 2 J n F 1 b 3 Q 7 L C Z x d W 9 0 O z I w M T c m c X V v d D s s J n F 1 b 3 Q 7 M j A x O C Z x d W 9 0 O y w m c X V v d D s y M D E 5 J n F 1 b 3 Q 7 L C Z x d W 9 0 O z I w M j A m c X V v d D s s J n F 1 b 3 Q 7 M j A y M S Z x d W 9 0 O y w m c X V v d D s y M D I y J n F 1 b 3 Q 7 X S I g L z 4 8 R W 5 0 c n k g V H l w Z T 0 i R m l s b F N 0 Y X R 1 c y I g V m F s d W U 9 I n N D b 2 1 w b G V 0 Z S I g L z 4 8 R W 5 0 c n k g V H l w Z T 0 i U X V l c n l J R C I g V m F s d W U 9 I n N k N W M 4 M m I 0 Z i 0 0 Y W Q w L T R j N z c t O W F i O C 0 1 O D V i Y 2 Z m Y z k 1 Y W Q i I C 8 + P E V u d H J 5 I F R 5 c G U 9 I k Z p b G x F c n J v c k N v Z G U i I F Z h b H V l P S J z V W 5 r b m 9 3 b i I g L z 4 8 R W 5 0 c n k g V H l w Z T 0 i R m l s b E N v d W 5 0 I i B W Y W x 1 Z T 0 i b D E i I C 8 + P E V u d H J 5 I F R 5 c G U 9 I l J l b G F 0 a W 9 u c 2 h p c E l u Z m 9 D b 2 5 0 Y W l u Z X I i I F Z h b H V l P S J z e y Z x d W 9 0 O 2 N v b H V t b k N v d W 5 0 J n F 1 b 3 Q 7 O j M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Y n c t M D U t c 2 N o d 2 V y b W V 0 Y W x s Z W l u d H J h Z y 9 H Z c O k b m R l c n R l c i B U e X A u e y w w f S Z x d W 9 0 O y w m c X V v d D t T Z W N 0 a W 9 u M S 9 h Y n c t M D U t c 2 N o d 2 V y b W V 0 Y W x s Z W l u d H J h Z y 9 R d W V s b G U u e 0 N v b H V t b j I s M X 0 m c X V v d D s s J n F 1 b 3 Q 7 U 2 V j d G l v b j E v Y W J 3 L T A 1 L X N j a H d l c m 1 l d G F s b G V p b n R y Y W c v U X V l b G x l L n t D b 2 x 1 b W 4 z L D J 9 J n F 1 b 3 Q 7 L C Z x d W 9 0 O 1 N l Y 3 R p b 2 4 x L 2 F i d y 0 w N S 1 z Y 2 h 3 Z X J t Z X R h b G x l a W 5 0 c m F n L 1 F 1 Z W x s Z S 5 7 Q 2 9 s d W 1 u N C w z f S Z x d W 9 0 O y w m c X V v d D t T Z W N 0 a W 9 u M S 9 h Y n c t M D U t c 2 N o d 2 V y b W V 0 Y W x s Z W l u d H J h Z y 9 R d W V s b G U u e 0 N v b H V t b j U s N H 0 m c X V v d D s s J n F 1 b 3 Q 7 U 2 V j d G l v b j E v Y W J 3 L T A 1 L X N j a H d l c m 1 l d G F s b G V p b n R y Y W c v U X V l b G x l L n t D b 2 x 1 b W 4 2 L D V 9 J n F 1 b 3 Q 7 L C Z x d W 9 0 O 1 N l Y 3 R p b 2 4 x L 2 F i d y 0 w N S 1 z Y 2 h 3 Z X J t Z X R h b G x l a W 5 0 c m F n L 1 F 1 Z W x s Z S 5 7 Q 2 9 s d W 1 u N y w 2 f S Z x d W 9 0 O y w m c X V v d D t T Z W N 0 a W 9 u M S 9 h Y n c t M D U t c 2 N o d 2 V y b W V 0 Y W x s Z W l u d H J h Z y 9 R d W V s b G U u e 0 N v b H V t b j g s N 3 0 m c X V v d D s s J n F 1 b 3 Q 7 U 2 V j d G l v b j E v Y W J 3 L T A 1 L X N j a H d l c m 1 l d G F s b G V p b n R y Y W c v U X V l b G x l L n t D b 2 x 1 b W 4 5 L D h 9 J n F 1 b 3 Q 7 L C Z x d W 9 0 O 1 N l Y 3 R p b 2 4 x L 2 F i d y 0 w N S 1 z Y 2 h 3 Z X J t Z X R h b G x l a W 5 0 c m F n L 1 F 1 Z W x s Z S 5 7 Q 2 9 s d W 1 u M T A s O X 0 m c X V v d D s s J n F 1 b 3 Q 7 U 2 V j d G l v b j E v Y W J 3 L T A 1 L X N j a H d l c m 1 l d G F s b G V p b n R y Y W c v U X V l b G x l L n t D b 2 x 1 b W 4 x M S w x M H 0 m c X V v d D s s J n F 1 b 3 Q 7 U 2 V j d G l v b j E v Y W J 3 L T A 1 L X N j a H d l c m 1 l d G F s b G V p b n R y Y W c v U X V l b G x l L n t D b 2 x 1 b W 4 x M i w x M X 0 m c X V v d D s s J n F 1 b 3 Q 7 U 2 V j d G l v b j E v Y W J 3 L T A 1 L X N j a H d l c m 1 l d G F s b G V p b n R y Y W c v U X V l b G x l L n t D b 2 x 1 b W 4 x M y w x M n 0 m c X V v d D s s J n F 1 b 3 Q 7 U 2 V j d G l v b j E v Y W J 3 L T A 1 L X N j a H d l c m 1 l d G F s b G V p b n R y Y W c v U X V l b G x l L n t D b 2 x 1 b W 4 x N C w x M 3 0 m c X V v d D s s J n F 1 b 3 Q 7 U 2 V j d G l v b j E v Y W J 3 L T A 1 L X N j a H d l c m 1 l d G F s b G V p b n R y Y W c v U X V l b G x l L n t D b 2 x 1 b W 4 x N S w x N H 0 m c X V v d D s s J n F 1 b 3 Q 7 U 2 V j d G l v b j E v Y W J 3 L T A 1 L X N j a H d l c m 1 l d G F s b G V p b n R y Y W c v U X V l b G x l L n t D b 2 x 1 b W 4 x N i w x N X 0 m c X V v d D s s J n F 1 b 3 Q 7 U 2 V j d G l v b j E v Y W J 3 L T A 1 L X N j a H d l c m 1 l d G F s b G V p b n R y Y W c v U X V l b G x l L n t D b 2 x 1 b W 4 x N y w x N n 0 m c X V v d D s s J n F 1 b 3 Q 7 U 2 V j d G l v b j E v Y W J 3 L T A 1 L X N j a H d l c m 1 l d G F s b G V p b n R y Y W c v U X V l b G x l L n t D b 2 x 1 b W 4 x O C w x N 3 0 m c X V v d D s s J n F 1 b 3 Q 7 U 2 V j d G l v b j E v Y W J 3 L T A 1 L X N j a H d l c m 1 l d G F s b G V p b n R y Y W c v U X V l b G x l L n t D b 2 x 1 b W 4 x O S w x O H 0 m c X V v d D s s J n F 1 b 3 Q 7 U 2 V j d G l v b j E v Y W J 3 L T A 1 L X N j a H d l c m 1 l d G F s b G V p b n R y Y W c v U X V l b G x l L n t D b 2 x 1 b W 4 y M C w x O X 0 m c X V v d D s s J n F 1 b 3 Q 7 U 2 V j d G l v b j E v Y W J 3 L T A 1 L X N j a H d l c m 1 l d G F s b G V p b n R y Y W c v U X V l b G x l L n t D b 2 x 1 b W 4 y M S w y M H 0 m c X V v d D s s J n F 1 b 3 Q 7 U 2 V j d G l v b j E v Y W J 3 L T A 1 L X N j a H d l c m 1 l d G F s b G V p b n R y Y W c v U X V l b G x l L n t D b 2 x 1 b W 4 y M i w y M X 0 m c X V v d D s s J n F 1 b 3 Q 7 U 2 V j d G l v b j E v Y W J 3 L T A 1 L X N j a H d l c m 1 l d G F s b G V p b n R y Y W c v U X V l b G x l L n t D b 2 x 1 b W 4 y M y w y M n 0 m c X V v d D s s J n F 1 b 3 Q 7 U 2 V j d G l v b j E v Y W J 3 L T A 1 L X N j a H d l c m 1 l d G F s b G V p b n R y Y W c v U X V l b G x l L n t D b 2 x 1 b W 4 y N C w y M 3 0 m c X V v d D s s J n F 1 b 3 Q 7 U 2 V j d G l v b j E v Y W J 3 L T A 1 L X N j a H d l c m 1 l d G F s b G V p b n R y Y W c v U X V l b G x l L n t D b 2 x 1 b W 4 y N S w y N H 0 m c X V v d D s s J n F 1 b 3 Q 7 U 2 V j d G l v b j E v Y W J 3 L T A 1 L X N j a H d l c m 1 l d G F s b G V p b n R y Y W c v U X V l b G x l L n t D b 2 x 1 b W 4 y N i w y N X 0 m c X V v d D s s J n F 1 b 3 Q 7 U 2 V j d G l v b j E v Y W J 3 L T A 1 L X N j a H d l c m 1 l d G F s b G V p b n R y Y W c v U X V l b G x l L n t D b 2 x 1 b W 4 y N y w y N n 0 m c X V v d D s s J n F 1 b 3 Q 7 U 2 V j d G l v b j E v Y W J 3 L T A 1 L X N j a H d l c m 1 l d G F s b G V p b n R y Y W c v U X V l b G x l L n t D b 2 x 1 b W 4 y O C w y N 3 0 m c X V v d D s s J n F 1 b 3 Q 7 U 2 V j d G l v b j E v Y W J 3 L T A 1 L X N j a H d l c m 1 l d G F s b G V p b n R y Y W c v U X V l b G x l L n t D b 2 x 1 b W 4 y O S w y O H 0 m c X V v d D s s J n F 1 b 3 Q 7 U 2 V j d G l v b j E v Y W J 3 L T A 1 L X N j a H d l c m 1 l d G F s b G V p b n R y Y W c v U X V l b G x l L n t D b 2 x 1 b W 4 z M C w y O X 0 m c X V v d D s s J n F 1 b 3 Q 7 U 2 V j d G l v b j E v Y W J 3 L T A 1 L X N j a H d l c m 1 l d G F s b G V p b n R y Y W c v U X V l b G x l L n t D b 2 x 1 b W 4 z M S w z M H 0 m c X V v d D s s J n F 1 b 3 Q 7 U 2 V j d G l v b j E v Y W J 3 L T A 1 L X N j a H d l c m 1 l d G F s b G V p b n R y Y W c v U X V l b G x l L n t D b 2 x 1 b W 4 z M i w z M X 0 m c X V v d D s s J n F 1 b 3 Q 7 U 2 V j d G l v b j E v Y W J 3 L T A 1 L X N j a H d l c m 1 l d G F s b G V p b n R y Y W c v U X V l b G x l L n t D b 2 x 1 b W 4 z M y w z M n 0 m c X V v d D s s J n F 1 b 3 Q 7 U 2 V j d G l v b j E v Y W J 3 L T A 1 L X N j a H d l c m 1 l d G F s b G V p b n R y Y W c v U X V l b G x l L n t D b 2 x 1 b W 4 z N C w z M 3 0 m c X V v d D s s J n F 1 b 3 Q 7 U 2 V j d G l v b j E v Y W J 3 L T A 1 L X N j a H d l c m 1 l d G F s b G V p b n R y Y W c v U X V l b G x l L n t D b 2 x 1 b W 4 z N S w z N H 0 m c X V v d D s s J n F 1 b 3 Q 7 U 2 V j d G l v b j E v Y W J 3 L T A 1 L X N j a H d l c m 1 l d G F s b G V p b n R y Y W c v U X V l b G x l L n t D b 2 x 1 b W 4 z N i w z N X 0 m c X V v d D s s J n F 1 b 3 Q 7 U 2 V j d G l v b j E v Y W J 3 L T A 1 L X N j a H d l c m 1 l d G F s b G V p b n R y Y W c v U X V l b G x l L n t D b 2 x 1 b W 4 z N y w z N n 0 m c X V v d D s s J n F 1 b 3 Q 7 U 2 V j d G l v b j E v Y W J 3 L T A 1 L X N j a H d l c m 1 l d G F s b G V p b n R y Y W c v U X V l b G x l L n t D b 2 x 1 b W 4 z O C w z N 3 0 m c X V v d D t d L C Z x d W 9 0 O 0 N v b H V t b k N v d W 5 0 J n F 1 b 3 Q 7 O j M 4 L C Z x d W 9 0 O 0 t l e U N v b H V t b k 5 h b W V z J n F 1 b 3 Q 7 O l t d L C Z x d W 9 0 O 0 N v b H V t b k l k Z W 5 0 a X R p Z X M m c X V v d D s 6 W y Z x d W 9 0 O 1 N l Y 3 R p b 2 4 x L 2 F i d y 0 w N S 1 z Y 2 h 3 Z X J t Z X R h b G x l a W 5 0 c m F n L 0 d l w 6 R u Z G V y d G V y I F R 5 c C 5 7 L D B 9 J n F 1 b 3 Q 7 L C Z x d W 9 0 O 1 N l Y 3 R p b 2 4 x L 2 F i d y 0 w N S 1 z Y 2 h 3 Z X J t Z X R h b G x l a W 5 0 c m F n L 1 F 1 Z W x s Z S 5 7 Q 2 9 s d W 1 u M i w x f S Z x d W 9 0 O y w m c X V v d D t T Z W N 0 a W 9 u M S 9 h Y n c t M D U t c 2 N o d 2 V y b W V 0 Y W x s Z W l u d H J h Z y 9 R d W V s b G U u e 0 N v b H V t b j M s M n 0 m c X V v d D s s J n F 1 b 3 Q 7 U 2 V j d G l v b j E v Y W J 3 L T A 1 L X N j a H d l c m 1 l d G F s b G V p b n R y Y W c v U X V l b G x l L n t D b 2 x 1 b W 4 0 L D N 9 J n F 1 b 3 Q 7 L C Z x d W 9 0 O 1 N l Y 3 R p b 2 4 x L 2 F i d y 0 w N S 1 z Y 2 h 3 Z X J t Z X R h b G x l a W 5 0 c m F n L 1 F 1 Z W x s Z S 5 7 Q 2 9 s d W 1 u N S w 0 f S Z x d W 9 0 O y w m c X V v d D t T Z W N 0 a W 9 u M S 9 h Y n c t M D U t c 2 N o d 2 V y b W V 0 Y W x s Z W l u d H J h Z y 9 R d W V s b G U u e 0 N v b H V t b j Y s N X 0 m c X V v d D s s J n F 1 b 3 Q 7 U 2 V j d G l v b j E v Y W J 3 L T A 1 L X N j a H d l c m 1 l d G F s b G V p b n R y Y W c v U X V l b G x l L n t D b 2 x 1 b W 4 3 L D Z 9 J n F 1 b 3 Q 7 L C Z x d W 9 0 O 1 N l Y 3 R p b 2 4 x L 2 F i d y 0 w N S 1 z Y 2 h 3 Z X J t Z X R h b G x l a W 5 0 c m F n L 1 F 1 Z W x s Z S 5 7 Q 2 9 s d W 1 u O C w 3 f S Z x d W 9 0 O y w m c X V v d D t T Z W N 0 a W 9 u M S 9 h Y n c t M D U t c 2 N o d 2 V y b W V 0 Y W x s Z W l u d H J h Z y 9 R d W V s b G U u e 0 N v b H V t b j k s O H 0 m c X V v d D s s J n F 1 b 3 Q 7 U 2 V j d G l v b j E v Y W J 3 L T A 1 L X N j a H d l c m 1 l d G F s b G V p b n R y Y W c v U X V l b G x l L n t D b 2 x 1 b W 4 x M C w 5 f S Z x d W 9 0 O y w m c X V v d D t T Z W N 0 a W 9 u M S 9 h Y n c t M D U t c 2 N o d 2 V y b W V 0 Y W x s Z W l u d H J h Z y 9 R d W V s b G U u e 0 N v b H V t b j E x L D E w f S Z x d W 9 0 O y w m c X V v d D t T Z W N 0 a W 9 u M S 9 h Y n c t M D U t c 2 N o d 2 V y b W V 0 Y W x s Z W l u d H J h Z y 9 R d W V s b G U u e 0 N v b H V t b j E y L D E x f S Z x d W 9 0 O y w m c X V v d D t T Z W N 0 a W 9 u M S 9 h Y n c t M D U t c 2 N o d 2 V y b W V 0 Y W x s Z W l u d H J h Z y 9 R d W V s b G U u e 0 N v b H V t b j E z L D E y f S Z x d W 9 0 O y w m c X V v d D t T Z W N 0 a W 9 u M S 9 h Y n c t M D U t c 2 N o d 2 V y b W V 0 Y W x s Z W l u d H J h Z y 9 R d W V s b G U u e 0 N v b H V t b j E 0 L D E z f S Z x d W 9 0 O y w m c X V v d D t T Z W N 0 a W 9 u M S 9 h Y n c t M D U t c 2 N o d 2 V y b W V 0 Y W x s Z W l u d H J h Z y 9 R d W V s b G U u e 0 N v b H V t b j E 1 L D E 0 f S Z x d W 9 0 O y w m c X V v d D t T Z W N 0 a W 9 u M S 9 h Y n c t M D U t c 2 N o d 2 V y b W V 0 Y W x s Z W l u d H J h Z y 9 R d W V s b G U u e 0 N v b H V t b j E 2 L D E 1 f S Z x d W 9 0 O y w m c X V v d D t T Z W N 0 a W 9 u M S 9 h Y n c t M D U t c 2 N o d 2 V y b W V 0 Y W x s Z W l u d H J h Z y 9 R d W V s b G U u e 0 N v b H V t b j E 3 L D E 2 f S Z x d W 9 0 O y w m c X V v d D t T Z W N 0 a W 9 u M S 9 h Y n c t M D U t c 2 N o d 2 V y b W V 0 Y W x s Z W l u d H J h Z y 9 R d W V s b G U u e 0 N v b H V t b j E 4 L D E 3 f S Z x d W 9 0 O y w m c X V v d D t T Z W N 0 a W 9 u M S 9 h Y n c t M D U t c 2 N o d 2 V y b W V 0 Y W x s Z W l u d H J h Z y 9 R d W V s b G U u e 0 N v b H V t b j E 5 L D E 4 f S Z x d W 9 0 O y w m c X V v d D t T Z W N 0 a W 9 u M S 9 h Y n c t M D U t c 2 N o d 2 V y b W V 0 Y W x s Z W l u d H J h Z y 9 R d W V s b G U u e 0 N v b H V t b j I w L D E 5 f S Z x d W 9 0 O y w m c X V v d D t T Z W N 0 a W 9 u M S 9 h Y n c t M D U t c 2 N o d 2 V y b W V 0 Y W x s Z W l u d H J h Z y 9 R d W V s b G U u e 0 N v b H V t b j I x L D I w f S Z x d W 9 0 O y w m c X V v d D t T Z W N 0 a W 9 u M S 9 h Y n c t M D U t c 2 N o d 2 V y b W V 0 Y W x s Z W l u d H J h Z y 9 R d W V s b G U u e 0 N v b H V t b j I y L D I x f S Z x d W 9 0 O y w m c X V v d D t T Z W N 0 a W 9 u M S 9 h Y n c t M D U t c 2 N o d 2 V y b W V 0 Y W x s Z W l u d H J h Z y 9 R d W V s b G U u e 0 N v b H V t b j I z L D I y f S Z x d W 9 0 O y w m c X V v d D t T Z W N 0 a W 9 u M S 9 h Y n c t M D U t c 2 N o d 2 V y b W V 0 Y W x s Z W l u d H J h Z y 9 R d W V s b G U u e 0 N v b H V t b j I 0 L D I z f S Z x d W 9 0 O y w m c X V v d D t T Z W N 0 a W 9 u M S 9 h Y n c t M D U t c 2 N o d 2 V y b W V 0 Y W x s Z W l u d H J h Z y 9 R d W V s b G U u e 0 N v b H V t b j I 1 L D I 0 f S Z x d W 9 0 O y w m c X V v d D t T Z W N 0 a W 9 u M S 9 h Y n c t M D U t c 2 N o d 2 V y b W V 0 Y W x s Z W l u d H J h Z y 9 R d W V s b G U u e 0 N v b H V t b j I 2 L D I 1 f S Z x d W 9 0 O y w m c X V v d D t T Z W N 0 a W 9 u M S 9 h Y n c t M D U t c 2 N o d 2 V y b W V 0 Y W x s Z W l u d H J h Z y 9 R d W V s b G U u e 0 N v b H V t b j I 3 L D I 2 f S Z x d W 9 0 O y w m c X V v d D t T Z W N 0 a W 9 u M S 9 h Y n c t M D U t c 2 N o d 2 V y b W V 0 Y W x s Z W l u d H J h Z y 9 R d W V s b G U u e 0 N v b H V t b j I 4 L D I 3 f S Z x d W 9 0 O y w m c X V v d D t T Z W N 0 a W 9 u M S 9 h Y n c t M D U t c 2 N o d 2 V y b W V 0 Y W x s Z W l u d H J h Z y 9 R d W V s b G U u e 0 N v b H V t b j I 5 L D I 4 f S Z x d W 9 0 O y w m c X V v d D t T Z W N 0 a W 9 u M S 9 h Y n c t M D U t c 2 N o d 2 V y b W V 0 Y W x s Z W l u d H J h Z y 9 R d W V s b G U u e 0 N v b H V t b j M w L D I 5 f S Z x d W 9 0 O y w m c X V v d D t T Z W N 0 a W 9 u M S 9 h Y n c t M D U t c 2 N o d 2 V y b W V 0 Y W x s Z W l u d H J h Z y 9 R d W V s b G U u e 0 N v b H V t b j M x L D M w f S Z x d W 9 0 O y w m c X V v d D t T Z W N 0 a W 9 u M S 9 h Y n c t M D U t c 2 N o d 2 V y b W V 0 Y W x s Z W l u d H J h Z y 9 R d W V s b G U u e 0 N v b H V t b j M y L D M x f S Z x d W 9 0 O y w m c X V v d D t T Z W N 0 a W 9 u M S 9 h Y n c t M D U t c 2 N o d 2 V y b W V 0 Y W x s Z W l u d H J h Z y 9 R d W V s b G U u e 0 N v b H V t b j M z L D M y f S Z x d W 9 0 O y w m c X V v d D t T Z W N 0 a W 9 u M S 9 h Y n c t M D U t c 2 N o d 2 V y b W V 0 Y W x s Z W l u d H J h Z y 9 R d W V s b G U u e 0 N v b H V t b j M 0 L D M z f S Z x d W 9 0 O y w m c X V v d D t T Z W N 0 a W 9 u M S 9 h Y n c t M D U t c 2 N o d 2 V y b W V 0 Y W x s Z W l u d H J h Z y 9 R d W V s b G U u e 0 N v b H V t b j M 1 L D M 0 f S Z x d W 9 0 O y w m c X V v d D t T Z W N 0 a W 9 u M S 9 h Y n c t M D U t c 2 N o d 2 V y b W V 0 Y W x s Z W l u d H J h Z y 9 R d W V s b G U u e 0 N v b H V t b j M 2 L D M 1 f S Z x d W 9 0 O y w m c X V v d D t T Z W N 0 a W 9 u M S 9 h Y n c t M D U t c 2 N o d 2 V y b W V 0 Y W x s Z W l u d H J h Z y 9 R d W V s b G U u e 0 N v b H V t b j M 3 L D M 2 f S Z x d W 9 0 O y w m c X V v d D t T Z W N 0 a W 9 u M S 9 h Y n c t M D U t c 2 N o d 2 V y b W V 0 Y W x s Z W l u d H J h Z y 9 R d W V s b G U u e 0 N v b H V t b j M 4 L D M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h Y n c t M D U t c 2 N o d 2 V y b W V 0 Y W x s Z W l u d H J h Z y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n c t M D U t c 2 N o d 2 V y b W V 0 Y W x s Z W l u d H J h Z y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n c t M D U t c 2 N o d 2 V y b W V 0 Y W x s Z W l u d H J h Z y 9 I J U M z J U I 2 a G V y J T I w Z 2 V z d H V m d G U l M j B I Z W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n c t M D Y t Z m x p Z X N z Z 2 V 3 Y W V z c 2 V y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2 F i d 1 8 w N l 9 m b G l l c 3 N n Z X d h Z X N z Z X I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G b G l l w 5 9 n Z X f D p H N z Z X J 6 d X N 0 Y W 5 k I i A v P j x F b n R y e S B U e X B l P S J S Z W N v d m V y e V R h c m d l d E N v b H V t b i I g V m F s d W U 9 I m w x I i A v P j x F b n R y e S B U e X B l P S J S Z W N v d m V y e V R h c m d l d F J v d y I g V m F s d W U 9 I m w y M C I g L z 4 8 R W 5 0 c n k g V H l w Z T 0 i R m l s b E V y c m 9 y Q 2 9 1 b n Q i I F Z h b H V l P S J s M C I g L z 4 8 R W 5 0 c n k g V H l w Z T 0 i R m l s b E x h c 3 R V c G R h d G V k I i B W Y W x 1 Z T 0 i Z D I w M j M t M T E t M j h U M D k 6 M T c 6 N T A u N z I 4 N D M 3 O F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M j A x M i 0 y M D E 0 J n F 1 b 3 Q 7 L C Z x d W 9 0 O z I w M T U t M j A x O C Z x d W 9 0 O 1 0 i I C 8 + P E V u d H J 5 I F R 5 c G U 9 I k Z p b G x T d G F 0 d X M i I F Z h b H V l P S J z Q 2 9 t c G x l d G U i I C 8 + P E V u d H J 5 I F R 5 c G U 9 I l F 1 Z X J 5 S U Q i I F Z h b H V l P S J z Z D B h Z D c x O G I t Y z l k Z S 0 0 N G Q 1 L W E 5 Y T g t Y T I y Z m I 0 N G N j M G Z h I i A v P j x F b n R y e S B U e X B l P S J G a W x s R X J y b 3 J D b 2 R l I i B W Y W x 1 Z T 0 i c 1 V u a 2 5 v d 2 4 i I C 8 + P E V u d H J 5 I F R 5 c G U 9 I k Z p b G x D b 3 V u d C I g V m F s d W U 9 I m w 0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Y n c t M D Y t Z m x p Z X N z Z 2 V 3 Y W V z c 2 V y L 0 d l w 6 R u Z G V y d G V y I F R 5 c C 5 7 L D B 9 J n F 1 b 3 Q 7 L C Z x d W 9 0 O 1 N l Y 3 R p b 2 4 x L 2 F i d y 0 w N i 1 m b G l l c 3 N n Z X d h Z X N z Z X I v U X V l b G x l L n t D b 2 x 1 b W 4 y L D F 9 J n F 1 b 3 Q 7 L C Z x d W 9 0 O 1 N l Y 3 R p b 2 4 x L 2 F i d y 0 w N i 1 m b G l l c 3 N n Z X d h Z X N z Z X I v U X V l b G x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2 F i d y 0 w N i 1 m b G l l c 3 N n Z X d h Z X N z Z X I v R 2 X D p G 5 k Z X J 0 Z X I g V H l w L n s s M H 0 m c X V v d D s s J n F 1 b 3 Q 7 U 2 V j d G l v b j E v Y W J 3 L T A 2 L W Z s a W V z c 2 d l d 2 F l c 3 N l c i 9 R d W V s b G U u e 0 N v b H V t b j I s M X 0 m c X V v d D s s J n F 1 b 3 Q 7 U 2 V j d G l v b j E v Y W J 3 L T A 2 L W Z s a W V z c 2 d l d 2 F l c 3 N l c i 9 R d W V s b G U u e 0 N v b H V t b j M s M n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W J 3 L T A 2 L W Z s a W V z c 2 d l d 2 F l c 3 N l c i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n c t M D Y t Z m x p Z X N z Z 2 V 3 Y W V z c 2 V y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i d y 0 w N i 1 m b G l l c 3 N n Z X d h Z X N z Z X I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J 3 L T A 3 L W 5 p d H J h d C 1 n c n V u Z H d h c 3 N l c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h Y n d f M D d f b m l 0 c m F 0 X 2 d y d W 5 k d 2 F z c 2 V y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T m l 0 c m F 0 I E d X I i A v P j x F b n R y e S B U e X B l P S J S Z W N v d m V y e V R h c m d l d E N v b H V t b i I g V m F s d W U 9 I m w x I i A v P j x F b n R y e S B U e X B l P S J S Z W N v d m V y e V R h c m d l d F J v d y I g V m F s d W U 9 I m w y M C I g L z 4 8 R W 5 0 c n k g V H l w Z T 0 i R m l s b E V y c m 9 y Q 2 9 1 b n Q i I F Z h b H V l P S J s M C I g L z 4 8 R W 5 0 c n k g V H l w Z T 0 i R m l s b E x h c 3 R V c G R h d G V k I i B W Y W x 1 Z T 0 i Z D I w M j M t M T E t M j h U M D k 6 M T c 6 N T A u N T c 2 O D Q z M F o i I C 8 + P E V u d H J 5 I F R 5 c G U 9 I k Z p b G x D b 2 x 1 b W 5 U e X B l c y I g V m F s d W U 9 I n N C Z 1 l H Q m d Z R 0 J n W U d C Z 1 l H Q m d Z R y I g L z 4 8 R W 5 0 c n k g V H l w Z T 0 i R m l s b E N v b H V t b k 5 h b W V z I i B W Y W x 1 Z T 0 i c 1 s m c X V v d D t D b 2 x 1 b W 4 x J n F 1 b 3 Q 7 L C Z x d W 9 0 O z I w M D g m c X V v d D s s J n F 1 b 3 Q 7 M j A w O S Z x d W 9 0 O y w m c X V v d D s y M D E w J n F 1 b 3 Q 7 L C Z x d W 9 0 O z I w M T E m c X V v d D s s J n F 1 b 3 Q 7 M j A x M i Z x d W 9 0 O y w m c X V v d D s y M D E z J n F 1 b 3 Q 7 L C Z x d W 9 0 O z I w M T Q m c X V v d D s s J n F 1 b 3 Q 7 M j A x N S Z x d W 9 0 O y w m c X V v d D s y M D E 2 J n F 1 b 3 Q 7 L C Z x d W 9 0 O z I w M T c m c X V v d D s s J n F 1 b 3 Q 7 M j A x O C Z x d W 9 0 O y w m c X V v d D s y M D E 5 J n F 1 b 3 Q 7 L C Z x d W 9 0 O z I w M j A m c X V v d D s s J n F 1 b 3 Q 7 M j A y M S Z x d W 9 0 O 1 0 i I C 8 + P E V u d H J 5 I F R 5 c G U 9 I k Z p b G x T d G F 0 d X M i I F Z h b H V l P S J z Q 2 9 t c G x l d G U i I C 8 + P E V u d H J 5 I F R 5 c G U 9 I l F 1 Z X J 5 S U Q i I F Z h b H V l P S J z Z D c 1 Y j A 0 O G E t N z g 0 Y S 0 0 M z Y 4 L T k 3 Y j A t M T l l Y 2 M y N D l l Z W F k I i A v P j x F b n R y e S B U e X B l P S J G a W x s R X J y b 3 J D b 2 R l I i B W Y W x 1 Z T 0 i c 1 V u a 2 5 v d 2 4 i I C 8 + P E V u d H J 5 I F R 5 c G U 9 I k Z p b G x D b 3 V u d C I g V m F s d W U 9 I m w x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W J 3 L T A 3 L W 5 p d H J h d C 1 n c n V u Z H d h c 3 N l c i 9 H Z c O k b m R l c n R l c i B U e X A u e y w w f S Z x d W 9 0 O y w m c X V v d D t T Z W N 0 a W 9 u M S 9 h Y n c t M D c t b m l 0 c m F 0 L W d y d W 5 k d 2 F z c 2 V y L 1 F 1 Z W x s Z S 5 7 Q 2 9 s d W 1 u M i w x f S Z x d W 9 0 O y w m c X V v d D t T Z W N 0 a W 9 u M S 9 h Y n c t M D c t b m l 0 c m F 0 L W d y d W 5 k d 2 F z c 2 V y L 1 F 1 Z W x s Z S 5 7 Q 2 9 s d W 1 u M y w y f S Z x d W 9 0 O y w m c X V v d D t T Z W N 0 a W 9 u M S 9 h Y n c t M D c t b m l 0 c m F 0 L W d y d W 5 k d 2 F z c 2 V y L 1 F 1 Z W x s Z S 5 7 Q 2 9 s d W 1 u N C w z f S Z x d W 9 0 O y w m c X V v d D t T Z W N 0 a W 9 u M S 9 h Y n c t M D c t b m l 0 c m F 0 L W d y d W 5 k d 2 F z c 2 V y L 1 F 1 Z W x s Z S 5 7 Q 2 9 s d W 1 u N S w 0 f S Z x d W 9 0 O y w m c X V v d D t T Z W N 0 a W 9 u M S 9 h Y n c t M D c t b m l 0 c m F 0 L W d y d W 5 k d 2 F z c 2 V y L 1 F 1 Z W x s Z S 5 7 Q 2 9 s d W 1 u N i w 1 f S Z x d W 9 0 O y w m c X V v d D t T Z W N 0 a W 9 u M S 9 h Y n c t M D c t b m l 0 c m F 0 L W d y d W 5 k d 2 F z c 2 V y L 1 F 1 Z W x s Z S 5 7 Q 2 9 s d W 1 u N y w 2 f S Z x d W 9 0 O y w m c X V v d D t T Z W N 0 a W 9 u M S 9 h Y n c t M D c t b m l 0 c m F 0 L W d y d W 5 k d 2 F z c 2 V y L 1 F 1 Z W x s Z S 5 7 Q 2 9 s d W 1 u O C w 3 f S Z x d W 9 0 O y w m c X V v d D t T Z W N 0 a W 9 u M S 9 h Y n c t M D c t b m l 0 c m F 0 L W d y d W 5 k d 2 F z c 2 V y L 1 F 1 Z W x s Z S 5 7 Q 2 9 s d W 1 u O S w 4 f S Z x d W 9 0 O y w m c X V v d D t T Z W N 0 a W 9 u M S 9 h Y n c t M D c t b m l 0 c m F 0 L W d y d W 5 k d 2 F z c 2 V y L 1 F 1 Z W x s Z S 5 7 Q 2 9 s d W 1 u M T A s O X 0 m c X V v d D s s J n F 1 b 3 Q 7 U 2 V j d G l v b j E v Y W J 3 L T A 3 L W 5 p d H J h d C 1 n c n V u Z H d h c 3 N l c i 9 R d W V s b G U u e 0 N v b H V t b j E x L D E w f S Z x d W 9 0 O y w m c X V v d D t T Z W N 0 a W 9 u M S 9 h Y n c t M D c t b m l 0 c m F 0 L W d y d W 5 k d 2 F z c 2 V y L 1 F 1 Z W x s Z S 5 7 Q 2 9 s d W 1 u M T I s M T F 9 J n F 1 b 3 Q 7 L C Z x d W 9 0 O 1 N l Y 3 R p b 2 4 x L 2 F i d y 0 w N y 1 u a X R y Y X Q t Z 3 J 1 b m R 3 Y X N z Z X I v U X V l b G x l L n t D b 2 x 1 b W 4 x M y w x M n 0 m c X V v d D s s J n F 1 b 3 Q 7 U 2 V j d G l v b j E v Y W J 3 L T A 3 L W 5 p d H J h d C 1 n c n V u Z H d h c 3 N l c i 9 R d W V s b G U u e 0 N v b H V t b j E 0 L D E z f S Z x d W 9 0 O y w m c X V v d D t T Z W N 0 a W 9 u M S 9 h Y n c t M D c t b m l 0 c m F 0 L W d y d W 5 k d 2 F z c 2 V y L 1 F 1 Z W x s Z S 5 7 Q 2 9 s d W 1 u M T U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h Y n c t M D c t b m l 0 c m F 0 L W d y d W 5 k d 2 F z c 2 V y L 0 d l w 6 R u Z G V y d G V y I F R 5 c C 5 7 L D B 9 J n F 1 b 3 Q 7 L C Z x d W 9 0 O 1 N l Y 3 R p b 2 4 x L 2 F i d y 0 w N y 1 u a X R y Y X Q t Z 3 J 1 b m R 3 Y X N z Z X I v U X V l b G x l L n t D b 2 x 1 b W 4 y L D F 9 J n F 1 b 3 Q 7 L C Z x d W 9 0 O 1 N l Y 3 R p b 2 4 x L 2 F i d y 0 w N y 1 u a X R y Y X Q t Z 3 J 1 b m R 3 Y X N z Z X I v U X V l b G x l L n t D b 2 x 1 b W 4 z L D J 9 J n F 1 b 3 Q 7 L C Z x d W 9 0 O 1 N l Y 3 R p b 2 4 x L 2 F i d y 0 w N y 1 u a X R y Y X Q t Z 3 J 1 b m R 3 Y X N z Z X I v U X V l b G x l L n t D b 2 x 1 b W 4 0 L D N 9 J n F 1 b 3 Q 7 L C Z x d W 9 0 O 1 N l Y 3 R p b 2 4 x L 2 F i d y 0 w N y 1 u a X R y Y X Q t Z 3 J 1 b m R 3 Y X N z Z X I v U X V l b G x l L n t D b 2 x 1 b W 4 1 L D R 9 J n F 1 b 3 Q 7 L C Z x d W 9 0 O 1 N l Y 3 R p b 2 4 x L 2 F i d y 0 w N y 1 u a X R y Y X Q t Z 3 J 1 b m R 3 Y X N z Z X I v U X V l b G x l L n t D b 2 x 1 b W 4 2 L D V 9 J n F 1 b 3 Q 7 L C Z x d W 9 0 O 1 N l Y 3 R p b 2 4 x L 2 F i d y 0 w N y 1 u a X R y Y X Q t Z 3 J 1 b m R 3 Y X N z Z X I v U X V l b G x l L n t D b 2 x 1 b W 4 3 L D Z 9 J n F 1 b 3 Q 7 L C Z x d W 9 0 O 1 N l Y 3 R p b 2 4 x L 2 F i d y 0 w N y 1 u a X R y Y X Q t Z 3 J 1 b m R 3 Y X N z Z X I v U X V l b G x l L n t D b 2 x 1 b W 4 4 L D d 9 J n F 1 b 3 Q 7 L C Z x d W 9 0 O 1 N l Y 3 R p b 2 4 x L 2 F i d y 0 w N y 1 u a X R y Y X Q t Z 3 J 1 b m R 3 Y X N z Z X I v U X V l b G x l L n t D b 2 x 1 b W 4 5 L D h 9 J n F 1 b 3 Q 7 L C Z x d W 9 0 O 1 N l Y 3 R p b 2 4 x L 2 F i d y 0 w N y 1 u a X R y Y X Q t Z 3 J 1 b m R 3 Y X N z Z X I v U X V l b G x l L n t D b 2 x 1 b W 4 x M C w 5 f S Z x d W 9 0 O y w m c X V v d D t T Z W N 0 a W 9 u M S 9 h Y n c t M D c t b m l 0 c m F 0 L W d y d W 5 k d 2 F z c 2 V y L 1 F 1 Z W x s Z S 5 7 Q 2 9 s d W 1 u M T E s M T B 9 J n F 1 b 3 Q 7 L C Z x d W 9 0 O 1 N l Y 3 R p b 2 4 x L 2 F i d y 0 w N y 1 u a X R y Y X Q t Z 3 J 1 b m R 3 Y X N z Z X I v U X V l b G x l L n t D b 2 x 1 b W 4 x M i w x M X 0 m c X V v d D s s J n F 1 b 3 Q 7 U 2 V j d G l v b j E v Y W J 3 L T A 3 L W 5 p d H J h d C 1 n c n V u Z H d h c 3 N l c i 9 R d W V s b G U u e 0 N v b H V t b j E z L D E y f S Z x d W 9 0 O y w m c X V v d D t T Z W N 0 a W 9 u M S 9 h Y n c t M D c t b m l 0 c m F 0 L W d y d W 5 k d 2 F z c 2 V y L 1 F 1 Z W x s Z S 5 7 Q 2 9 s d W 1 u M T Q s M T N 9 J n F 1 b 3 Q 7 L C Z x d W 9 0 O 1 N l Y 3 R p b 2 4 x L 2 F i d y 0 w N y 1 u a X R y Y X Q t Z 3 J 1 b m R 3 Y X N z Z X I v U X V l b G x l L n t D b 2 x 1 b W 4 x N S w x N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W J 3 L T A 3 L W 5 p d H J h d C 1 n c n V u Z H d h c 3 N l c i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n c t M D c t b m l 0 c m F 0 L W d y d W 5 k d 2 F z c 2 V y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i d y 0 w N y 1 u a X R y Y X Q t Z 3 J 1 b m R 3 Y X N z Z X I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m x y L T A x L W d l Z i 1 h c n R l b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u b H J f M D F f Z 2 V m X 2 F y d G V u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R 2 V m w 6 R y Z G V 0 Z S B B c n R l b i I g L z 4 8 R W 5 0 c n k g V H l w Z T 0 i U m V j b 3 Z l c n l U Y X J n Z X R D b 2 x 1 b W 4 i I F Z h b H V l P S J s M S I g L z 4 8 R W 5 0 c n k g V H l w Z T 0 i U m V j b 3 Z l c n l U Y X J n Z X R S b 3 c i I F Z h b H V l P S J s M j A i I C 8 + P E V u d H J 5 I F R 5 c G U 9 I k Z p b G x F c n J v c k N v d W 5 0 I i B W Y W x 1 Z T 0 i b D A i I C 8 + P E V u d H J 5 I F R 5 c G U 9 I k Z p b G x M Y X N 0 V X B k Y X R l Z C I g V m F s d W U 9 I m Q y M D I z L T E x L T I 4 V D A 5 O j E 3 O j U w L j Q 1 N z E 2 M T d a I i A v P j x F b n R y e S B U e X B l P S J G a W x s Q 2 9 s d W 1 u V H l w Z X M i I F Z h b H V l P S J z Q m d Z R 0 J n W U d C Z 1 k 9 I i A v P j x F b n R y e S B U e X B l P S J G a W x s Q 2 9 s d W 1 u T m F t Z X M i I F Z h b H V l P S J z W y Z x d W 9 0 O 0 N v b H V t b j E m c X V v d D s s J n F 1 b 3 Q 7 Q X V z Z 2 V z d G 9 y Y m V u I G 9 k Z X I g d m V y c 2 N o b 2 x s Z W 4 m c X V v d D s s J n F 1 b 3 Q 7 R H V y Y 2 g g Z X h 0 c m V t Z S B T Z W x 0 Z W 5 o Z W l 0 I G d l Z s O k a H J k Z X Q m c X V v d D s s J n F 1 b 3 Q 7 R 2 V m w 6 R o c m R 1 b m d h d X N t Y c O f I H V u Y m V r Y W 5 u d C Z x d W 9 0 O y w m c X V v d D t W b 2 0 g Q X V z c 3 R l c m J l b i B i Z W R y b 2 h 0 J n F 1 b 3 Q 7 L C Z x d W 9 0 O 1 N 0 Y X J r I G d l Z s O k a H J k Z X Q m c X V v d D s s J n F 1 b 3 Q 7 R 2 V m w 6 R o c m R l d C Z x d W 9 0 O y w m c X V v d D t O a W N o d C B p b i B k Z X I g U m 9 0 Z W 4 g T G l z d G U m c X V v d D t d I i A v P j x F b n R y e S B U e X B l P S J G a W x s U 3 R h d H V z I i B W Y W x 1 Z T 0 i c 0 N v b X B s Z X R l I i A v P j x F b n R y e S B U e X B l P S J R d W V y e U l E I i B W Y W x 1 Z T 0 i c z Q 4 N D N j N W U 2 L T A z Y W U t N G Y x N S 0 4 Z G F j L W J k M z Y 3 O G Y 2 Z j N i N y I g L z 4 8 R W 5 0 c n k g V H l w Z T 0 i R m l s b E V y c m 9 y Q 2 9 k Z S I g V m F s d W U 9 I n N V b m t u b 3 d u I i A v P j x F b n R y e S B U e X B l P S J G a W x s Q 2 9 1 b n Q i I F Z h b H V l P S J s O C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m x y L T A x L W d l Z i 1 h c n R l b i 9 H Z c O k b m R l c n R l c i B U e X A u e y w w f S Z x d W 9 0 O y w m c X V v d D t T Z W N 0 a W 9 u M S 9 u b H I t M D E t Z 2 V m L W F y d G V u L 1 F 1 Z W x s Z S 5 7 Q 2 9 s d W 1 u M i w x f S Z x d W 9 0 O y w m c X V v d D t T Z W N 0 a W 9 u M S 9 u b H I t M D E t Z 2 V m L W F y d G V u L 1 F 1 Z W x s Z S 5 7 Q 2 9 s d W 1 u M y w y f S Z x d W 9 0 O y w m c X V v d D t T Z W N 0 a W 9 u M S 9 u b H I t M D E t Z 2 V m L W F y d G V u L 1 F 1 Z W x s Z S 5 7 Q 2 9 s d W 1 u N C w z f S Z x d W 9 0 O y w m c X V v d D t T Z W N 0 a W 9 u M S 9 u b H I t M D E t Z 2 V m L W F y d G V u L 1 F 1 Z W x s Z S 5 7 Q 2 9 s d W 1 u N S w 0 f S Z x d W 9 0 O y w m c X V v d D t T Z W N 0 a W 9 u M S 9 u b H I t M D E t Z 2 V m L W F y d G V u L 1 F 1 Z W x s Z S 5 7 Q 2 9 s d W 1 u N i w 1 f S Z x d W 9 0 O y w m c X V v d D t T Z W N 0 a W 9 u M S 9 u b H I t M D E t Z 2 V m L W F y d G V u L 1 F 1 Z W x s Z S 5 7 Q 2 9 s d W 1 u N y w 2 f S Z x d W 9 0 O y w m c X V v d D t T Z W N 0 a W 9 u M S 9 u b H I t M D E t Z 2 V m L W F y d G V u L 1 F 1 Z W x s Z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u b H I t M D E t Z 2 V m L W F y d G V u L 0 d l w 6 R u Z G V y d G V y I F R 5 c C 5 7 L D B 9 J n F 1 b 3 Q 7 L C Z x d W 9 0 O 1 N l Y 3 R p b 2 4 x L 2 5 s c i 0 w M S 1 n Z W Y t Y X J 0 Z W 4 v U X V l b G x l L n t D b 2 x 1 b W 4 y L D F 9 J n F 1 b 3 Q 7 L C Z x d W 9 0 O 1 N l Y 3 R p b 2 4 x L 2 5 s c i 0 w M S 1 n Z W Y t Y X J 0 Z W 4 v U X V l b G x l L n t D b 2 x 1 b W 4 z L D J 9 J n F 1 b 3 Q 7 L C Z x d W 9 0 O 1 N l Y 3 R p b 2 4 x L 2 5 s c i 0 w M S 1 n Z W Y t Y X J 0 Z W 4 v U X V l b G x l L n t D b 2 x 1 b W 4 0 L D N 9 J n F 1 b 3 Q 7 L C Z x d W 9 0 O 1 N l Y 3 R p b 2 4 x L 2 5 s c i 0 w M S 1 n Z W Y t Y X J 0 Z W 4 v U X V l b G x l L n t D b 2 x 1 b W 4 1 L D R 9 J n F 1 b 3 Q 7 L C Z x d W 9 0 O 1 N l Y 3 R p b 2 4 x L 2 5 s c i 0 w M S 1 n Z W Y t Y X J 0 Z W 4 v U X V l b G x l L n t D b 2 x 1 b W 4 2 L D V 9 J n F 1 b 3 Q 7 L C Z x d W 9 0 O 1 N l Y 3 R p b 2 4 x L 2 5 s c i 0 w M S 1 n Z W Y t Y X J 0 Z W 4 v U X V l b G x l L n t D b 2 x 1 b W 4 3 L D Z 9 J n F 1 b 3 Q 7 L C Z x d W 9 0 O 1 N l Y 3 R p b 2 4 x L 2 5 s c i 0 w M S 1 n Z W Y t Y X J 0 Z W 4 v U X V l b G x l L n t D b 2 x 1 b W 4 4 L D d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5 s c i 0 w M S 1 n Z W Y t Y X J 0 Z W 4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m x y L T A x L W d l Z i 1 h c n R l b i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H I t M D E t Z 2 V m L W F y d G V u L 0 g l Q z M l Q j Z o Z X I l M j B n Z X N 0 d W Z 0 Z S U y M E h l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5 s c i 0 w M y 1 u Y X R 1 c n N j a H V 0 e m Z s Y W V j a G V u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2 5 s c l 8 w M 1 9 u Y X R 1 c n N j a H V 0 e m Z s Y W V j a G V u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T m F 0 d X J z Y 2 h 1 d H p m b M O k Y 2 h l b i I g L z 4 8 R W 5 0 c n k g V H l w Z T 0 i U m V j b 3 Z l c n l U Y X J n Z X R D b 2 x 1 b W 4 i I F Z h b H V l P S J s M S I g L z 4 8 R W 5 0 c n k g V H l w Z T 0 i U m V j b 3 Z l c n l U Y X J n Z X R S b 3 c i I F Z h b H V l P S J s M j A i I C 8 + P E V u d H J 5 I F R 5 c G U 9 I k Z p b G x F c n J v c k N v d W 5 0 I i B W Y W x 1 Z T 0 i b D A i I C 8 + P E V u d H J 5 I F R 5 c G U 9 I k Z p b G x M Y X N 0 V X B k Y X R l Z C I g V m F s d W U 9 I m Q y M D I z L T E x L T I 4 V D A 5 O j E 3 O j U w L j I 4 N D Y y M j B a I i A v P j x F b n R y e S B U e X B l P S J G a W x s Q 2 9 s d W 1 u V H l w Z X M i I F Z h b H V l P S J z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T 0 i I C 8 + P E V u d H J 5 I F R 5 c G U 9 I k Z p b G x D b 2 x 1 b W 5 O Y W 1 l c y I g V m F s d W U 9 I n N b J n F 1 b 3 Q 7 Q 2 9 s d W 1 u M S Z x d W 9 0 O y w m c X V v d D s x O T I w J n F 1 b 3 Q 7 L C Z x d W 9 0 O z E 5 M j E m c X V v d D s s J n F 1 b 3 Q 7 M T k y M i Z x d W 9 0 O y w m c X V v d D s x O T I z J n F 1 b 3 Q 7 L C Z x d W 9 0 O z E 5 M j Q m c X V v d D s s J n F 1 b 3 Q 7 M T k y N S Z x d W 9 0 O y w m c X V v d D s x O T I 2 J n F 1 b 3 Q 7 L C Z x d W 9 0 O z E 5 M j c m c X V v d D s s J n F 1 b 3 Q 7 M T k y O C Z x d W 9 0 O y w m c X V v d D s x O T I 5 J n F 1 b 3 Q 7 L C Z x d W 9 0 O z E 5 M z A m c X V v d D s s J n F 1 b 3 Q 7 M T k z M S Z x d W 9 0 O y w m c X V v d D s x O T M y J n F 1 b 3 Q 7 L C Z x d W 9 0 O z E 5 M z M m c X V v d D s s J n F 1 b 3 Q 7 M T k z N C Z x d W 9 0 O y w m c X V v d D s x O T M 1 J n F 1 b 3 Q 7 L C Z x d W 9 0 O z E 5 M z Y m c X V v d D s s J n F 1 b 3 Q 7 M T k z N y Z x d W 9 0 O y w m c X V v d D s x O T M 4 J n F 1 b 3 Q 7 L C Z x d W 9 0 O z E 5 M z k m c X V v d D s s J n F 1 b 3 Q 7 M T k 0 M C Z x d W 9 0 O y w m c X V v d D s x O T Q x J n F 1 b 3 Q 7 L C Z x d W 9 0 O z E 5 N D I m c X V v d D s s J n F 1 b 3 Q 7 M T k 0 M y Z x d W 9 0 O y w m c X V v d D s x O T Q 0 J n F 1 b 3 Q 7 L C Z x d W 9 0 O z E 5 N D U m c X V v d D s s J n F 1 b 3 Q 7 M T k 0 N i Z x d W 9 0 O y w m c X V v d D s x O T Q 3 J n F 1 b 3 Q 7 L C Z x d W 9 0 O z E 5 N D g m c X V v d D s s J n F 1 b 3 Q 7 M T k 0 O S Z x d W 9 0 O y w m c X V v d D s x O T U w J n F 1 b 3 Q 7 L C Z x d W 9 0 O z E 5 N T E m c X V v d D s s J n F 1 b 3 Q 7 M T k 1 M i Z x d W 9 0 O y w m c X V v d D s x O T U z J n F 1 b 3 Q 7 L C Z x d W 9 0 O z E 5 N T Q m c X V v d D s s J n F 1 b 3 Q 7 M T k 1 N S Z x d W 9 0 O y w m c X V v d D s x O T U 2 J n F 1 b 3 Q 7 L C Z x d W 9 0 O z E 5 N T c m c X V v d D s s J n F 1 b 3 Q 7 M T k 1 O C Z x d W 9 0 O y w m c X V v d D s x O T U 5 J n F 1 b 3 Q 7 L C Z x d W 9 0 O z E 5 N j A m c X V v d D s s J n F 1 b 3 Q 7 M T k 2 M S Z x d W 9 0 O y w m c X V v d D s x O T Y y J n F 1 b 3 Q 7 L C Z x d W 9 0 O z E 5 N j M m c X V v d D s s J n F 1 b 3 Q 7 M T k 2 N C Z x d W 9 0 O y w m c X V v d D s x O T Y 1 J n F 1 b 3 Q 7 L C Z x d W 9 0 O z E 5 N j Y m c X V v d D s s J n F 1 b 3 Q 7 M T k 2 N y Z x d W 9 0 O y w m c X V v d D s x O T Y 4 J n F 1 b 3 Q 7 L C Z x d W 9 0 O z E 5 N j k m c X V v d D s s J n F 1 b 3 Q 7 M T k 3 M C Z x d W 9 0 O y w m c X V v d D s x O T c x J n F 1 b 3 Q 7 L C Z x d W 9 0 O z E 5 N z I m c X V v d D s s J n F 1 b 3 Q 7 M T k 3 M y Z x d W 9 0 O y w m c X V v d D s x O T c 0 J n F 1 b 3 Q 7 L C Z x d W 9 0 O z E 5 N z U m c X V v d D s s J n F 1 b 3 Q 7 M T k 3 N i Z x d W 9 0 O y w m c X V v d D s x O T c 3 J n F 1 b 3 Q 7 L C Z x d W 9 0 O z E 5 N z g m c X V v d D s s J n F 1 b 3 Q 7 M T k 3 O S Z x d W 9 0 O y w m c X V v d D s x O T g w J n F 1 b 3 Q 7 L C Z x d W 9 0 O z E 5 O D E m c X V v d D s s J n F 1 b 3 Q 7 M T k 4 M i Z x d W 9 0 O y w m c X V v d D s x O T g z J n F 1 b 3 Q 7 L C Z x d W 9 0 O z E 5 O D Q m c X V v d D s s J n F 1 b 3 Q 7 M T k 4 N S Z x d W 9 0 O y w m c X V v d D s x O T g 2 J n F 1 b 3 Q 7 L C Z x d W 9 0 O z E 5 O D c m c X V v d D s s J n F 1 b 3 Q 7 M T k 4 O C Z x d W 9 0 O y w m c X V v d D s x O T g 5 J n F 1 b 3 Q 7 L C Z x d W 9 0 O z E 5 O T A m c X V v d D s s J n F 1 b 3 Q 7 M T k 5 M S Z x d W 9 0 O y w m c X V v d D s x O T k y J n F 1 b 3 Q 7 L C Z x d W 9 0 O z E 5 O T M m c X V v d D s s J n F 1 b 3 Q 7 M T k 5 N C Z x d W 9 0 O y w m c X V v d D s x O T k 1 J n F 1 b 3 Q 7 L C Z x d W 9 0 O z E 5 O T Y m c X V v d D s s J n F 1 b 3 Q 7 M T k 5 N y Z x d W 9 0 O y w m c X V v d D s x O T k 4 J n F 1 b 3 Q 7 L C Z x d W 9 0 O z E 5 O T k m c X V v d D s s J n F 1 b 3 Q 7 M j A w M C Z x d W 9 0 O y w m c X V v d D s y M D A x J n F 1 b 3 Q 7 L C Z x d W 9 0 O z I w M D I m c X V v d D s s J n F 1 b 3 Q 7 M j A w M y Z x d W 9 0 O y w m c X V v d D s y M D A 0 J n F 1 b 3 Q 7 L C Z x d W 9 0 O z I w M D U m c X V v d D s s J n F 1 b 3 Q 7 M j A w N i Z x d W 9 0 O y w m c X V v d D s y M D A 3 J n F 1 b 3 Q 7 L C Z x d W 9 0 O z I w M D g m c X V v d D s s J n F 1 b 3 Q 7 M j A w O S Z x d W 9 0 O y w m c X V v d D s y M D E w J n F 1 b 3 Q 7 L C Z x d W 9 0 O z I w M T E m c X V v d D s s J n F 1 b 3 Q 7 M j A x M i Z x d W 9 0 O y w m c X V v d D s y M D E z J n F 1 b 3 Q 7 L C Z x d W 9 0 O z I w M T Q m c X V v d D s s J n F 1 b 3 Q 7 M j A x N S Z x d W 9 0 O y w m c X V v d D s y M D E 2 J n F 1 b 3 Q 7 L C Z x d W 9 0 O z I w M T c m c X V v d D s s J n F 1 b 3 Q 7 M j A x O C Z x d W 9 0 O y w m c X V v d D s y M D E 5 J n F 1 b 3 Q 7 L C Z x d W 9 0 O z I w M j A m c X V v d D s s J n F 1 b 3 Q 7 M j A y M S Z x d W 9 0 O y w m c X V v d D s y M D I y J n F 1 b 3 Q 7 X S I g L z 4 8 R W 5 0 c n k g V H l w Z T 0 i R m l s b F N 0 Y X R 1 c y I g V m F s d W U 9 I n N D b 2 1 w b G V 0 Z S I g L z 4 8 R W 5 0 c n k g V H l w Z T 0 i U X V l c n l J R C I g V m F s d W U 9 I n M x O D c 5 Y z E 1 Y i 0 0 N D c y L T Q 3 N T k t O T B m M y 0 0 N W F i O D N j N z J l O D g i I C 8 + P E V u d H J 5 I F R 5 c G U 9 I k Z p b G x F c n J v c k N v Z G U i I F Z h b H V l P S J z V W 5 r b m 9 3 b i I g L z 4 8 R W 5 0 c n k g V H l w Z T 0 i R m l s b E N v d W 5 0 I i B W Y W x 1 Z T 0 i b D E i I C 8 + P E V u d H J 5 I F R 5 c G U 9 I l J l b G F 0 a W 9 u c 2 h p c E l u Z m 9 D b 2 5 0 Y W l u Z X I i I F Z h b H V l P S J z e y Z x d W 9 0 O 2 N v b H V t b k N v d W 5 0 J n F 1 b 3 Q 7 O j E w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m x y L T A z L W 5 h d H V y c 2 N o d X R 6 Z m x h Z W N o Z W 4 v R 2 X D p G 5 k Z X J 0 Z X I g V H l w L n s s M H 0 m c X V v d D s s J n F 1 b 3 Q 7 U 2 V j d G l v b j E v b m x y L T A z L W 5 h d H V y c 2 N o d X R 6 Z m x h Z W N o Z W 4 v U X V l b G x l L n t D b 2 x 1 b W 4 y L D F 9 J n F 1 b 3 Q 7 L C Z x d W 9 0 O 1 N l Y 3 R p b 2 4 x L 2 5 s c i 0 w M y 1 u Y X R 1 c n N j a H V 0 e m Z s Y W V j a G V u L 1 F 1 Z W x s Z S 5 7 Q 2 9 s d W 1 u M y w y f S Z x d W 9 0 O y w m c X V v d D t T Z W N 0 a W 9 u M S 9 u b H I t M D M t b m F 0 d X J z Y 2 h 1 d H p m b G F l Y 2 h l b i 9 R d W V s b G U u e 0 N v b H V t b j Q s M 3 0 m c X V v d D s s J n F 1 b 3 Q 7 U 2 V j d G l v b j E v b m x y L T A z L W 5 h d H V y c 2 N o d X R 6 Z m x h Z W N o Z W 4 v U X V l b G x l L n t D b 2 x 1 b W 4 1 L D R 9 J n F 1 b 3 Q 7 L C Z x d W 9 0 O 1 N l Y 3 R p b 2 4 x L 2 5 s c i 0 w M y 1 u Y X R 1 c n N j a H V 0 e m Z s Y W V j a G V u L 1 F 1 Z W x s Z S 5 7 Q 2 9 s d W 1 u N i w 1 f S Z x d W 9 0 O y w m c X V v d D t T Z W N 0 a W 9 u M S 9 u b H I t M D M t b m F 0 d X J z Y 2 h 1 d H p m b G F l Y 2 h l b i 9 R d W V s b G U u e 0 N v b H V t b j c s N n 0 m c X V v d D s s J n F 1 b 3 Q 7 U 2 V j d G l v b j E v b m x y L T A z L W 5 h d H V y c 2 N o d X R 6 Z m x h Z W N o Z W 4 v U X V l b G x l L n t D b 2 x 1 b W 4 4 L D d 9 J n F 1 b 3 Q 7 L C Z x d W 9 0 O 1 N l Y 3 R p b 2 4 x L 2 5 s c i 0 w M y 1 u Y X R 1 c n N j a H V 0 e m Z s Y W V j a G V u L 1 F 1 Z W x s Z S 5 7 Q 2 9 s d W 1 u O S w 4 f S Z x d W 9 0 O y w m c X V v d D t T Z W N 0 a W 9 u M S 9 u b H I t M D M t b m F 0 d X J z Y 2 h 1 d H p m b G F l Y 2 h l b i 9 R d W V s b G U u e 0 N v b H V t b j E w L D l 9 J n F 1 b 3 Q 7 L C Z x d W 9 0 O 1 N l Y 3 R p b 2 4 x L 2 5 s c i 0 w M y 1 u Y X R 1 c n N j a H V 0 e m Z s Y W V j a G V u L 1 F 1 Z W x s Z S 5 7 Q 2 9 s d W 1 u M T E s M T B 9 J n F 1 b 3 Q 7 L C Z x d W 9 0 O 1 N l Y 3 R p b 2 4 x L 2 5 s c i 0 w M y 1 u Y X R 1 c n N j a H V 0 e m Z s Y W V j a G V u L 1 F 1 Z W x s Z S 5 7 Q 2 9 s d W 1 u M T I s M T F 9 J n F 1 b 3 Q 7 L C Z x d W 9 0 O 1 N l Y 3 R p b 2 4 x L 2 5 s c i 0 w M y 1 u Y X R 1 c n N j a H V 0 e m Z s Y W V j a G V u L 1 F 1 Z W x s Z S 5 7 Q 2 9 s d W 1 u M T M s M T J 9 J n F 1 b 3 Q 7 L C Z x d W 9 0 O 1 N l Y 3 R p b 2 4 x L 2 5 s c i 0 w M y 1 u Y X R 1 c n N j a H V 0 e m Z s Y W V j a G V u L 1 F 1 Z W x s Z S 5 7 Q 2 9 s d W 1 u M T Q s M T N 9 J n F 1 b 3 Q 7 L C Z x d W 9 0 O 1 N l Y 3 R p b 2 4 x L 2 5 s c i 0 w M y 1 u Y X R 1 c n N j a H V 0 e m Z s Y W V j a G V u L 1 F 1 Z W x s Z S 5 7 Q 2 9 s d W 1 u M T U s M T R 9 J n F 1 b 3 Q 7 L C Z x d W 9 0 O 1 N l Y 3 R p b 2 4 x L 2 5 s c i 0 w M y 1 u Y X R 1 c n N j a H V 0 e m Z s Y W V j a G V u L 1 F 1 Z W x s Z S 5 7 Q 2 9 s d W 1 u M T Y s M T V 9 J n F 1 b 3 Q 7 L C Z x d W 9 0 O 1 N l Y 3 R p b 2 4 x L 2 5 s c i 0 w M y 1 u Y X R 1 c n N j a H V 0 e m Z s Y W V j a G V u L 1 F 1 Z W x s Z S 5 7 Q 2 9 s d W 1 u M T c s M T Z 9 J n F 1 b 3 Q 7 L C Z x d W 9 0 O 1 N l Y 3 R p b 2 4 x L 2 5 s c i 0 w M y 1 u Y X R 1 c n N j a H V 0 e m Z s Y W V j a G V u L 1 F 1 Z W x s Z S 5 7 Q 2 9 s d W 1 u M T g s M T d 9 J n F 1 b 3 Q 7 L C Z x d W 9 0 O 1 N l Y 3 R p b 2 4 x L 2 5 s c i 0 w M y 1 u Y X R 1 c n N j a H V 0 e m Z s Y W V j a G V u L 1 F 1 Z W x s Z S 5 7 Q 2 9 s d W 1 u M T k s M T h 9 J n F 1 b 3 Q 7 L C Z x d W 9 0 O 1 N l Y 3 R p b 2 4 x L 2 5 s c i 0 w M y 1 u Y X R 1 c n N j a H V 0 e m Z s Y W V j a G V u L 1 F 1 Z W x s Z S 5 7 Q 2 9 s d W 1 u M j A s M T l 9 J n F 1 b 3 Q 7 L C Z x d W 9 0 O 1 N l Y 3 R p b 2 4 x L 2 5 s c i 0 w M y 1 u Y X R 1 c n N j a H V 0 e m Z s Y W V j a G V u L 1 F 1 Z W x s Z S 5 7 Q 2 9 s d W 1 u M j E s M j B 9 J n F 1 b 3 Q 7 L C Z x d W 9 0 O 1 N l Y 3 R p b 2 4 x L 2 5 s c i 0 w M y 1 u Y X R 1 c n N j a H V 0 e m Z s Y W V j a G V u L 1 F 1 Z W x s Z S 5 7 Q 2 9 s d W 1 u M j I s M j F 9 J n F 1 b 3 Q 7 L C Z x d W 9 0 O 1 N l Y 3 R p b 2 4 x L 2 5 s c i 0 w M y 1 u Y X R 1 c n N j a H V 0 e m Z s Y W V j a G V u L 1 F 1 Z W x s Z S 5 7 Q 2 9 s d W 1 u M j M s M j J 9 J n F 1 b 3 Q 7 L C Z x d W 9 0 O 1 N l Y 3 R p b 2 4 x L 2 5 s c i 0 w M y 1 u Y X R 1 c n N j a H V 0 e m Z s Y W V j a G V u L 1 F 1 Z W x s Z S 5 7 Q 2 9 s d W 1 u M j Q s M j N 9 J n F 1 b 3 Q 7 L C Z x d W 9 0 O 1 N l Y 3 R p b 2 4 x L 2 5 s c i 0 w M y 1 u Y X R 1 c n N j a H V 0 e m Z s Y W V j a G V u L 1 F 1 Z W x s Z S 5 7 Q 2 9 s d W 1 u M j U s M j R 9 J n F 1 b 3 Q 7 L C Z x d W 9 0 O 1 N l Y 3 R p b 2 4 x L 2 5 s c i 0 w M y 1 u Y X R 1 c n N j a H V 0 e m Z s Y W V j a G V u L 1 F 1 Z W x s Z S 5 7 Q 2 9 s d W 1 u M j Y s M j V 9 J n F 1 b 3 Q 7 L C Z x d W 9 0 O 1 N l Y 3 R p b 2 4 x L 2 5 s c i 0 w M y 1 u Y X R 1 c n N j a H V 0 e m Z s Y W V j a G V u L 1 F 1 Z W x s Z S 5 7 Q 2 9 s d W 1 u M j c s M j Z 9 J n F 1 b 3 Q 7 L C Z x d W 9 0 O 1 N l Y 3 R p b 2 4 x L 2 5 s c i 0 w M y 1 u Y X R 1 c n N j a H V 0 e m Z s Y W V j a G V u L 1 F 1 Z W x s Z S 5 7 Q 2 9 s d W 1 u M j g s M j d 9 J n F 1 b 3 Q 7 L C Z x d W 9 0 O 1 N l Y 3 R p b 2 4 x L 2 5 s c i 0 w M y 1 u Y X R 1 c n N j a H V 0 e m Z s Y W V j a G V u L 1 F 1 Z W x s Z S 5 7 Q 2 9 s d W 1 u M j k s M j h 9 J n F 1 b 3 Q 7 L C Z x d W 9 0 O 1 N l Y 3 R p b 2 4 x L 2 5 s c i 0 w M y 1 u Y X R 1 c n N j a H V 0 e m Z s Y W V j a G V u L 1 F 1 Z W x s Z S 5 7 Q 2 9 s d W 1 u M z A s M j l 9 J n F 1 b 3 Q 7 L C Z x d W 9 0 O 1 N l Y 3 R p b 2 4 x L 2 5 s c i 0 w M y 1 u Y X R 1 c n N j a H V 0 e m Z s Y W V j a G V u L 1 F 1 Z W x s Z S 5 7 Q 2 9 s d W 1 u M z E s M z B 9 J n F 1 b 3 Q 7 L C Z x d W 9 0 O 1 N l Y 3 R p b 2 4 x L 2 5 s c i 0 w M y 1 u Y X R 1 c n N j a H V 0 e m Z s Y W V j a G V u L 1 F 1 Z W x s Z S 5 7 Q 2 9 s d W 1 u M z I s M z F 9 J n F 1 b 3 Q 7 L C Z x d W 9 0 O 1 N l Y 3 R p b 2 4 x L 2 5 s c i 0 w M y 1 u Y X R 1 c n N j a H V 0 e m Z s Y W V j a G V u L 1 F 1 Z W x s Z S 5 7 Q 2 9 s d W 1 u M z M s M z J 9 J n F 1 b 3 Q 7 L C Z x d W 9 0 O 1 N l Y 3 R p b 2 4 x L 2 5 s c i 0 w M y 1 u Y X R 1 c n N j a H V 0 e m Z s Y W V j a G V u L 1 F 1 Z W x s Z S 5 7 Q 2 9 s d W 1 u M z Q s M z N 9 J n F 1 b 3 Q 7 L C Z x d W 9 0 O 1 N l Y 3 R p b 2 4 x L 2 5 s c i 0 w M y 1 u Y X R 1 c n N j a H V 0 e m Z s Y W V j a G V u L 1 F 1 Z W x s Z S 5 7 Q 2 9 s d W 1 u M z U s M z R 9 J n F 1 b 3 Q 7 L C Z x d W 9 0 O 1 N l Y 3 R p b 2 4 x L 2 5 s c i 0 w M y 1 u Y X R 1 c n N j a H V 0 e m Z s Y W V j a G V u L 1 F 1 Z W x s Z S 5 7 Q 2 9 s d W 1 u M z Y s M z V 9 J n F 1 b 3 Q 7 L C Z x d W 9 0 O 1 N l Y 3 R p b 2 4 x L 2 5 s c i 0 w M y 1 u Y X R 1 c n N j a H V 0 e m Z s Y W V j a G V u L 1 F 1 Z W x s Z S 5 7 Q 2 9 s d W 1 u M z c s M z Z 9 J n F 1 b 3 Q 7 L C Z x d W 9 0 O 1 N l Y 3 R p b 2 4 x L 2 5 s c i 0 w M y 1 u Y X R 1 c n N j a H V 0 e m Z s Y W V j a G V u L 1 F 1 Z W x s Z S 5 7 Q 2 9 s d W 1 u M z g s M z d 9 J n F 1 b 3 Q 7 L C Z x d W 9 0 O 1 N l Y 3 R p b 2 4 x L 2 5 s c i 0 w M y 1 u Y X R 1 c n N j a H V 0 e m Z s Y W V j a G V u L 1 F 1 Z W x s Z S 5 7 Q 2 9 s d W 1 u M z k s M z h 9 J n F 1 b 3 Q 7 L C Z x d W 9 0 O 1 N l Y 3 R p b 2 4 x L 2 5 s c i 0 w M y 1 u Y X R 1 c n N j a H V 0 e m Z s Y W V j a G V u L 1 F 1 Z W x s Z S 5 7 Q 2 9 s d W 1 u N D A s M z l 9 J n F 1 b 3 Q 7 L C Z x d W 9 0 O 1 N l Y 3 R p b 2 4 x L 2 5 s c i 0 w M y 1 u Y X R 1 c n N j a H V 0 e m Z s Y W V j a G V u L 1 F 1 Z W x s Z S 5 7 Q 2 9 s d W 1 u N D E s N D B 9 J n F 1 b 3 Q 7 L C Z x d W 9 0 O 1 N l Y 3 R p b 2 4 x L 2 5 s c i 0 w M y 1 u Y X R 1 c n N j a H V 0 e m Z s Y W V j a G V u L 1 F 1 Z W x s Z S 5 7 Q 2 9 s d W 1 u N D I s N D F 9 J n F 1 b 3 Q 7 L C Z x d W 9 0 O 1 N l Y 3 R p b 2 4 x L 2 5 s c i 0 w M y 1 u Y X R 1 c n N j a H V 0 e m Z s Y W V j a G V u L 1 F 1 Z W x s Z S 5 7 Q 2 9 s d W 1 u N D M s N D J 9 J n F 1 b 3 Q 7 L C Z x d W 9 0 O 1 N l Y 3 R p b 2 4 x L 2 5 s c i 0 w M y 1 u Y X R 1 c n N j a H V 0 e m Z s Y W V j a G V u L 1 F 1 Z W x s Z S 5 7 Q 2 9 s d W 1 u N D Q s N D N 9 J n F 1 b 3 Q 7 L C Z x d W 9 0 O 1 N l Y 3 R p b 2 4 x L 2 5 s c i 0 w M y 1 u Y X R 1 c n N j a H V 0 e m Z s Y W V j a G V u L 1 F 1 Z W x s Z S 5 7 Q 2 9 s d W 1 u N D U s N D R 9 J n F 1 b 3 Q 7 L C Z x d W 9 0 O 1 N l Y 3 R p b 2 4 x L 2 5 s c i 0 w M y 1 u Y X R 1 c n N j a H V 0 e m Z s Y W V j a G V u L 1 F 1 Z W x s Z S 5 7 Q 2 9 s d W 1 u N D Y s N D V 9 J n F 1 b 3 Q 7 L C Z x d W 9 0 O 1 N l Y 3 R p b 2 4 x L 2 5 s c i 0 w M y 1 u Y X R 1 c n N j a H V 0 e m Z s Y W V j a G V u L 1 F 1 Z W x s Z S 5 7 Q 2 9 s d W 1 u N D c s N D Z 9 J n F 1 b 3 Q 7 L C Z x d W 9 0 O 1 N l Y 3 R p b 2 4 x L 2 5 s c i 0 w M y 1 u Y X R 1 c n N j a H V 0 e m Z s Y W V j a G V u L 1 F 1 Z W x s Z S 5 7 Q 2 9 s d W 1 u N D g s N D d 9 J n F 1 b 3 Q 7 L C Z x d W 9 0 O 1 N l Y 3 R p b 2 4 x L 2 5 s c i 0 w M y 1 u Y X R 1 c n N j a H V 0 e m Z s Y W V j a G V u L 1 F 1 Z W x s Z S 5 7 Q 2 9 s d W 1 u N D k s N D h 9 J n F 1 b 3 Q 7 L C Z x d W 9 0 O 1 N l Y 3 R p b 2 4 x L 2 5 s c i 0 w M y 1 u Y X R 1 c n N j a H V 0 e m Z s Y W V j a G V u L 1 F 1 Z W x s Z S 5 7 Q 2 9 s d W 1 u N T A s N D l 9 J n F 1 b 3 Q 7 L C Z x d W 9 0 O 1 N l Y 3 R p b 2 4 x L 2 5 s c i 0 w M y 1 u Y X R 1 c n N j a H V 0 e m Z s Y W V j a G V u L 1 F 1 Z W x s Z S 5 7 Q 2 9 s d W 1 u N T E s N T B 9 J n F 1 b 3 Q 7 L C Z x d W 9 0 O 1 N l Y 3 R p b 2 4 x L 2 5 s c i 0 w M y 1 u Y X R 1 c n N j a H V 0 e m Z s Y W V j a G V u L 1 F 1 Z W x s Z S 5 7 Q 2 9 s d W 1 u N T I s N T F 9 J n F 1 b 3 Q 7 L C Z x d W 9 0 O 1 N l Y 3 R p b 2 4 x L 2 5 s c i 0 w M y 1 u Y X R 1 c n N j a H V 0 e m Z s Y W V j a G V u L 1 F 1 Z W x s Z S 5 7 Q 2 9 s d W 1 u N T M s N T J 9 J n F 1 b 3 Q 7 L C Z x d W 9 0 O 1 N l Y 3 R p b 2 4 x L 2 5 s c i 0 w M y 1 u Y X R 1 c n N j a H V 0 e m Z s Y W V j a G V u L 1 F 1 Z W x s Z S 5 7 Q 2 9 s d W 1 u N T Q s N T N 9 J n F 1 b 3 Q 7 L C Z x d W 9 0 O 1 N l Y 3 R p b 2 4 x L 2 5 s c i 0 w M y 1 u Y X R 1 c n N j a H V 0 e m Z s Y W V j a G V u L 1 F 1 Z W x s Z S 5 7 Q 2 9 s d W 1 u N T U s N T R 9 J n F 1 b 3 Q 7 L C Z x d W 9 0 O 1 N l Y 3 R p b 2 4 x L 2 5 s c i 0 w M y 1 u Y X R 1 c n N j a H V 0 e m Z s Y W V j a G V u L 1 F 1 Z W x s Z S 5 7 Q 2 9 s d W 1 u N T Y s N T V 9 J n F 1 b 3 Q 7 L C Z x d W 9 0 O 1 N l Y 3 R p b 2 4 x L 2 5 s c i 0 w M y 1 u Y X R 1 c n N j a H V 0 e m Z s Y W V j a G V u L 1 F 1 Z W x s Z S 5 7 Q 2 9 s d W 1 u N T c s N T Z 9 J n F 1 b 3 Q 7 L C Z x d W 9 0 O 1 N l Y 3 R p b 2 4 x L 2 5 s c i 0 w M y 1 u Y X R 1 c n N j a H V 0 e m Z s Y W V j a G V u L 1 F 1 Z W x s Z S 5 7 Q 2 9 s d W 1 u N T g s N T d 9 J n F 1 b 3 Q 7 L C Z x d W 9 0 O 1 N l Y 3 R p b 2 4 x L 2 5 s c i 0 w M y 1 u Y X R 1 c n N j a H V 0 e m Z s Y W V j a G V u L 1 F 1 Z W x s Z S 5 7 Q 2 9 s d W 1 u N T k s N T h 9 J n F 1 b 3 Q 7 L C Z x d W 9 0 O 1 N l Y 3 R p b 2 4 x L 2 5 s c i 0 w M y 1 u Y X R 1 c n N j a H V 0 e m Z s Y W V j a G V u L 1 F 1 Z W x s Z S 5 7 Q 2 9 s d W 1 u N j A s N T l 9 J n F 1 b 3 Q 7 L C Z x d W 9 0 O 1 N l Y 3 R p b 2 4 x L 2 5 s c i 0 w M y 1 u Y X R 1 c n N j a H V 0 e m Z s Y W V j a G V u L 1 F 1 Z W x s Z S 5 7 Q 2 9 s d W 1 u N j E s N j B 9 J n F 1 b 3 Q 7 L C Z x d W 9 0 O 1 N l Y 3 R p b 2 4 x L 2 5 s c i 0 w M y 1 u Y X R 1 c n N j a H V 0 e m Z s Y W V j a G V u L 1 F 1 Z W x s Z S 5 7 Q 2 9 s d W 1 u N j I s N j F 9 J n F 1 b 3 Q 7 L C Z x d W 9 0 O 1 N l Y 3 R p b 2 4 x L 2 5 s c i 0 w M y 1 u Y X R 1 c n N j a H V 0 e m Z s Y W V j a G V u L 1 F 1 Z W x s Z S 5 7 Q 2 9 s d W 1 u N j M s N j J 9 J n F 1 b 3 Q 7 L C Z x d W 9 0 O 1 N l Y 3 R p b 2 4 x L 2 5 s c i 0 w M y 1 u Y X R 1 c n N j a H V 0 e m Z s Y W V j a G V u L 1 F 1 Z W x s Z S 5 7 Q 2 9 s d W 1 u N j Q s N j N 9 J n F 1 b 3 Q 7 L C Z x d W 9 0 O 1 N l Y 3 R p b 2 4 x L 2 5 s c i 0 w M y 1 u Y X R 1 c n N j a H V 0 e m Z s Y W V j a G V u L 1 F 1 Z W x s Z S 5 7 Q 2 9 s d W 1 u N j U s N j R 9 J n F 1 b 3 Q 7 L C Z x d W 9 0 O 1 N l Y 3 R p b 2 4 x L 2 5 s c i 0 w M y 1 u Y X R 1 c n N j a H V 0 e m Z s Y W V j a G V u L 1 F 1 Z W x s Z S 5 7 Q 2 9 s d W 1 u N j Y s N j V 9 J n F 1 b 3 Q 7 L C Z x d W 9 0 O 1 N l Y 3 R p b 2 4 x L 2 5 s c i 0 w M y 1 u Y X R 1 c n N j a H V 0 e m Z s Y W V j a G V u L 1 F 1 Z W x s Z S 5 7 Q 2 9 s d W 1 u N j c s N j Z 9 J n F 1 b 3 Q 7 L C Z x d W 9 0 O 1 N l Y 3 R p b 2 4 x L 2 5 s c i 0 w M y 1 u Y X R 1 c n N j a H V 0 e m Z s Y W V j a G V u L 1 F 1 Z W x s Z S 5 7 Q 2 9 s d W 1 u N j g s N j d 9 J n F 1 b 3 Q 7 L C Z x d W 9 0 O 1 N l Y 3 R p b 2 4 x L 2 5 s c i 0 w M y 1 u Y X R 1 c n N j a H V 0 e m Z s Y W V j a G V u L 1 F 1 Z W x s Z S 5 7 Q 2 9 s d W 1 u N j k s N j h 9 J n F 1 b 3 Q 7 L C Z x d W 9 0 O 1 N l Y 3 R p b 2 4 x L 2 5 s c i 0 w M y 1 u Y X R 1 c n N j a H V 0 e m Z s Y W V j a G V u L 1 F 1 Z W x s Z S 5 7 Q 2 9 s d W 1 u N z A s N j l 9 J n F 1 b 3 Q 7 L C Z x d W 9 0 O 1 N l Y 3 R p b 2 4 x L 2 5 s c i 0 w M y 1 u Y X R 1 c n N j a H V 0 e m Z s Y W V j a G V u L 1 F 1 Z W x s Z S 5 7 Q 2 9 s d W 1 u N z E s N z B 9 J n F 1 b 3 Q 7 L C Z x d W 9 0 O 1 N l Y 3 R p b 2 4 x L 2 5 s c i 0 w M y 1 u Y X R 1 c n N j a H V 0 e m Z s Y W V j a G V u L 1 F 1 Z W x s Z S 5 7 Q 2 9 s d W 1 u N z I s N z F 9 J n F 1 b 3 Q 7 L C Z x d W 9 0 O 1 N l Y 3 R p b 2 4 x L 2 5 s c i 0 w M y 1 u Y X R 1 c n N j a H V 0 e m Z s Y W V j a G V u L 1 F 1 Z W x s Z S 5 7 Q 2 9 s d W 1 u N z M s N z J 9 J n F 1 b 3 Q 7 L C Z x d W 9 0 O 1 N l Y 3 R p b 2 4 x L 2 5 s c i 0 w M y 1 u Y X R 1 c n N j a H V 0 e m Z s Y W V j a G V u L 1 F 1 Z W x s Z S 5 7 Q 2 9 s d W 1 u N z Q s N z N 9 J n F 1 b 3 Q 7 L C Z x d W 9 0 O 1 N l Y 3 R p b 2 4 x L 2 5 s c i 0 w M y 1 u Y X R 1 c n N j a H V 0 e m Z s Y W V j a G V u L 1 F 1 Z W x s Z S 5 7 Q 2 9 s d W 1 u N z U s N z R 9 J n F 1 b 3 Q 7 L C Z x d W 9 0 O 1 N l Y 3 R p b 2 4 x L 2 5 s c i 0 w M y 1 u Y X R 1 c n N j a H V 0 e m Z s Y W V j a G V u L 1 F 1 Z W x s Z S 5 7 Q 2 9 s d W 1 u N z Y s N z V 9 J n F 1 b 3 Q 7 L C Z x d W 9 0 O 1 N l Y 3 R p b 2 4 x L 2 5 s c i 0 w M y 1 u Y X R 1 c n N j a H V 0 e m Z s Y W V j a G V u L 1 F 1 Z W x s Z S 5 7 Q 2 9 s d W 1 u N z c s N z Z 9 J n F 1 b 3 Q 7 L C Z x d W 9 0 O 1 N l Y 3 R p b 2 4 x L 2 5 s c i 0 w M y 1 u Y X R 1 c n N j a H V 0 e m Z s Y W V j a G V u L 1 F 1 Z W x s Z S 5 7 Q 2 9 s d W 1 u N z g s N z d 9 J n F 1 b 3 Q 7 L C Z x d W 9 0 O 1 N l Y 3 R p b 2 4 x L 2 5 s c i 0 w M y 1 u Y X R 1 c n N j a H V 0 e m Z s Y W V j a G V u L 1 F 1 Z W x s Z S 5 7 Q 2 9 s d W 1 u N z k s N z h 9 J n F 1 b 3 Q 7 L C Z x d W 9 0 O 1 N l Y 3 R p b 2 4 x L 2 5 s c i 0 w M y 1 u Y X R 1 c n N j a H V 0 e m Z s Y W V j a G V u L 1 F 1 Z W x s Z S 5 7 Q 2 9 s d W 1 u O D A s N z l 9 J n F 1 b 3 Q 7 L C Z x d W 9 0 O 1 N l Y 3 R p b 2 4 x L 2 5 s c i 0 w M y 1 u Y X R 1 c n N j a H V 0 e m Z s Y W V j a G V u L 1 F 1 Z W x s Z S 5 7 Q 2 9 s d W 1 u O D E s O D B 9 J n F 1 b 3 Q 7 L C Z x d W 9 0 O 1 N l Y 3 R p b 2 4 x L 2 5 s c i 0 w M y 1 u Y X R 1 c n N j a H V 0 e m Z s Y W V j a G V u L 1 F 1 Z W x s Z S 5 7 Q 2 9 s d W 1 u O D I s O D F 9 J n F 1 b 3 Q 7 L C Z x d W 9 0 O 1 N l Y 3 R p b 2 4 x L 2 5 s c i 0 w M y 1 u Y X R 1 c n N j a H V 0 e m Z s Y W V j a G V u L 1 F 1 Z W x s Z S 5 7 Q 2 9 s d W 1 u O D M s O D J 9 J n F 1 b 3 Q 7 L C Z x d W 9 0 O 1 N l Y 3 R p b 2 4 x L 2 5 s c i 0 w M y 1 u Y X R 1 c n N j a H V 0 e m Z s Y W V j a G V u L 1 F 1 Z W x s Z S 5 7 Q 2 9 s d W 1 u O D Q s O D N 9 J n F 1 b 3 Q 7 L C Z x d W 9 0 O 1 N l Y 3 R p b 2 4 x L 2 5 s c i 0 w M y 1 u Y X R 1 c n N j a H V 0 e m Z s Y W V j a G V u L 1 F 1 Z W x s Z S 5 7 Q 2 9 s d W 1 u O D U s O D R 9 J n F 1 b 3 Q 7 L C Z x d W 9 0 O 1 N l Y 3 R p b 2 4 x L 2 5 s c i 0 w M y 1 u Y X R 1 c n N j a H V 0 e m Z s Y W V j a G V u L 1 F 1 Z W x s Z S 5 7 Q 2 9 s d W 1 u O D Y s O D V 9 J n F 1 b 3 Q 7 L C Z x d W 9 0 O 1 N l Y 3 R p b 2 4 x L 2 5 s c i 0 w M y 1 u Y X R 1 c n N j a H V 0 e m Z s Y W V j a G V u L 1 F 1 Z W x s Z S 5 7 Q 2 9 s d W 1 u O D c s O D Z 9 J n F 1 b 3 Q 7 L C Z x d W 9 0 O 1 N l Y 3 R p b 2 4 x L 2 5 s c i 0 w M y 1 u Y X R 1 c n N j a H V 0 e m Z s Y W V j a G V u L 1 F 1 Z W x s Z S 5 7 Q 2 9 s d W 1 u O D g s O D d 9 J n F 1 b 3 Q 7 L C Z x d W 9 0 O 1 N l Y 3 R p b 2 4 x L 2 5 s c i 0 w M y 1 u Y X R 1 c n N j a H V 0 e m Z s Y W V j a G V u L 1 F 1 Z W x s Z S 5 7 Q 2 9 s d W 1 u O D k s O D h 9 J n F 1 b 3 Q 7 L C Z x d W 9 0 O 1 N l Y 3 R p b 2 4 x L 2 5 s c i 0 w M y 1 u Y X R 1 c n N j a H V 0 e m Z s Y W V j a G V u L 1 F 1 Z W x s Z S 5 7 Q 2 9 s d W 1 u O T A s O D l 9 J n F 1 b 3 Q 7 L C Z x d W 9 0 O 1 N l Y 3 R p b 2 4 x L 2 5 s c i 0 w M y 1 u Y X R 1 c n N j a H V 0 e m Z s Y W V j a G V u L 1 F 1 Z W x s Z S 5 7 Q 2 9 s d W 1 u O T E s O T B 9 J n F 1 b 3 Q 7 L C Z x d W 9 0 O 1 N l Y 3 R p b 2 4 x L 2 5 s c i 0 w M y 1 u Y X R 1 c n N j a H V 0 e m Z s Y W V j a G V u L 1 F 1 Z W x s Z S 5 7 Q 2 9 s d W 1 u O T I s O T F 9 J n F 1 b 3 Q 7 L C Z x d W 9 0 O 1 N l Y 3 R p b 2 4 x L 2 5 s c i 0 w M y 1 u Y X R 1 c n N j a H V 0 e m Z s Y W V j a G V u L 1 F 1 Z W x s Z S 5 7 Q 2 9 s d W 1 u O T M s O T J 9 J n F 1 b 3 Q 7 L C Z x d W 9 0 O 1 N l Y 3 R p b 2 4 x L 2 5 s c i 0 w M y 1 u Y X R 1 c n N j a H V 0 e m Z s Y W V j a G V u L 1 F 1 Z W x s Z S 5 7 Q 2 9 s d W 1 u O T Q s O T N 9 J n F 1 b 3 Q 7 L C Z x d W 9 0 O 1 N l Y 3 R p b 2 4 x L 2 5 s c i 0 w M y 1 u Y X R 1 c n N j a H V 0 e m Z s Y W V j a G V u L 1 F 1 Z W x s Z S 5 7 Q 2 9 s d W 1 u O T U s O T R 9 J n F 1 b 3 Q 7 L C Z x d W 9 0 O 1 N l Y 3 R p b 2 4 x L 2 5 s c i 0 w M y 1 u Y X R 1 c n N j a H V 0 e m Z s Y W V j a G V u L 1 F 1 Z W x s Z S 5 7 Q 2 9 s d W 1 u O T Y s O T V 9 J n F 1 b 3 Q 7 L C Z x d W 9 0 O 1 N l Y 3 R p b 2 4 x L 2 5 s c i 0 w M y 1 u Y X R 1 c n N j a H V 0 e m Z s Y W V j a G V u L 1 F 1 Z W x s Z S 5 7 Q 2 9 s d W 1 u O T c s O T Z 9 J n F 1 b 3 Q 7 L C Z x d W 9 0 O 1 N l Y 3 R p b 2 4 x L 2 5 s c i 0 w M y 1 u Y X R 1 c n N j a H V 0 e m Z s Y W V j a G V u L 1 F 1 Z W x s Z S 5 7 Q 2 9 s d W 1 u O T g s O T d 9 J n F 1 b 3 Q 7 L C Z x d W 9 0 O 1 N l Y 3 R p b 2 4 x L 2 5 s c i 0 w M y 1 u Y X R 1 c n N j a H V 0 e m Z s Y W V j a G V u L 1 F 1 Z W x s Z S 5 7 Q 2 9 s d W 1 u O T k s O T h 9 J n F 1 b 3 Q 7 L C Z x d W 9 0 O 1 N l Y 3 R p b 2 4 x L 2 5 s c i 0 w M y 1 u Y X R 1 c n N j a H V 0 e m Z s Y W V j a G V u L 1 F 1 Z W x s Z S 5 7 Q 2 9 s d W 1 u M T A w L D k 5 f S Z x d W 9 0 O y w m c X V v d D t T Z W N 0 a W 9 u M S 9 u b H I t M D M t b m F 0 d X J z Y 2 h 1 d H p m b G F l Y 2 h l b i 9 R d W V s b G U u e 0 N v b H V t b j E w M S w x M D B 9 J n F 1 b 3 Q 7 L C Z x d W 9 0 O 1 N l Y 3 R p b 2 4 x L 2 5 s c i 0 w M y 1 u Y X R 1 c n N j a H V 0 e m Z s Y W V j a G V u L 1 F 1 Z W x s Z S 5 7 Q 2 9 s d W 1 u M T A y L D E w M X 0 m c X V v d D s s J n F 1 b 3 Q 7 U 2 V j d G l v b j E v b m x y L T A z L W 5 h d H V y c 2 N o d X R 6 Z m x h Z W N o Z W 4 v U X V l b G x l L n t D b 2 x 1 b W 4 x M D M s M T A y f S Z x d W 9 0 O y w m c X V v d D t T Z W N 0 a W 9 u M S 9 u b H I t M D M t b m F 0 d X J z Y 2 h 1 d H p m b G F l Y 2 h l b i 9 R d W V s b G U u e 0 N v b H V t b j E w N C w x M D N 9 J n F 1 b 3 Q 7 X S w m c X V v d D t D b 2 x 1 b W 5 D b 3 V u d C Z x d W 9 0 O z o x M D Q s J n F 1 b 3 Q 7 S 2 V 5 Q 2 9 s d W 1 u T m F t Z X M m c X V v d D s 6 W 1 0 s J n F 1 b 3 Q 7 Q 2 9 s d W 1 u S W R l b n R p d G l l c y Z x d W 9 0 O z p b J n F 1 b 3 Q 7 U 2 V j d G l v b j E v b m x y L T A z L W 5 h d H V y c 2 N o d X R 6 Z m x h Z W N o Z W 4 v R 2 X D p G 5 k Z X J 0 Z X I g V H l w L n s s M H 0 m c X V v d D s s J n F 1 b 3 Q 7 U 2 V j d G l v b j E v b m x y L T A z L W 5 h d H V y c 2 N o d X R 6 Z m x h Z W N o Z W 4 v U X V l b G x l L n t D b 2 x 1 b W 4 y L D F 9 J n F 1 b 3 Q 7 L C Z x d W 9 0 O 1 N l Y 3 R p b 2 4 x L 2 5 s c i 0 w M y 1 u Y X R 1 c n N j a H V 0 e m Z s Y W V j a G V u L 1 F 1 Z W x s Z S 5 7 Q 2 9 s d W 1 u M y w y f S Z x d W 9 0 O y w m c X V v d D t T Z W N 0 a W 9 u M S 9 u b H I t M D M t b m F 0 d X J z Y 2 h 1 d H p m b G F l Y 2 h l b i 9 R d W V s b G U u e 0 N v b H V t b j Q s M 3 0 m c X V v d D s s J n F 1 b 3 Q 7 U 2 V j d G l v b j E v b m x y L T A z L W 5 h d H V y c 2 N o d X R 6 Z m x h Z W N o Z W 4 v U X V l b G x l L n t D b 2 x 1 b W 4 1 L D R 9 J n F 1 b 3 Q 7 L C Z x d W 9 0 O 1 N l Y 3 R p b 2 4 x L 2 5 s c i 0 w M y 1 u Y X R 1 c n N j a H V 0 e m Z s Y W V j a G V u L 1 F 1 Z W x s Z S 5 7 Q 2 9 s d W 1 u N i w 1 f S Z x d W 9 0 O y w m c X V v d D t T Z W N 0 a W 9 u M S 9 u b H I t M D M t b m F 0 d X J z Y 2 h 1 d H p m b G F l Y 2 h l b i 9 R d W V s b G U u e 0 N v b H V t b j c s N n 0 m c X V v d D s s J n F 1 b 3 Q 7 U 2 V j d G l v b j E v b m x y L T A z L W 5 h d H V y c 2 N o d X R 6 Z m x h Z W N o Z W 4 v U X V l b G x l L n t D b 2 x 1 b W 4 4 L D d 9 J n F 1 b 3 Q 7 L C Z x d W 9 0 O 1 N l Y 3 R p b 2 4 x L 2 5 s c i 0 w M y 1 u Y X R 1 c n N j a H V 0 e m Z s Y W V j a G V u L 1 F 1 Z W x s Z S 5 7 Q 2 9 s d W 1 u O S w 4 f S Z x d W 9 0 O y w m c X V v d D t T Z W N 0 a W 9 u M S 9 u b H I t M D M t b m F 0 d X J z Y 2 h 1 d H p m b G F l Y 2 h l b i 9 R d W V s b G U u e 0 N v b H V t b j E w L D l 9 J n F 1 b 3 Q 7 L C Z x d W 9 0 O 1 N l Y 3 R p b 2 4 x L 2 5 s c i 0 w M y 1 u Y X R 1 c n N j a H V 0 e m Z s Y W V j a G V u L 1 F 1 Z W x s Z S 5 7 Q 2 9 s d W 1 u M T E s M T B 9 J n F 1 b 3 Q 7 L C Z x d W 9 0 O 1 N l Y 3 R p b 2 4 x L 2 5 s c i 0 w M y 1 u Y X R 1 c n N j a H V 0 e m Z s Y W V j a G V u L 1 F 1 Z W x s Z S 5 7 Q 2 9 s d W 1 u M T I s M T F 9 J n F 1 b 3 Q 7 L C Z x d W 9 0 O 1 N l Y 3 R p b 2 4 x L 2 5 s c i 0 w M y 1 u Y X R 1 c n N j a H V 0 e m Z s Y W V j a G V u L 1 F 1 Z W x s Z S 5 7 Q 2 9 s d W 1 u M T M s M T J 9 J n F 1 b 3 Q 7 L C Z x d W 9 0 O 1 N l Y 3 R p b 2 4 x L 2 5 s c i 0 w M y 1 u Y X R 1 c n N j a H V 0 e m Z s Y W V j a G V u L 1 F 1 Z W x s Z S 5 7 Q 2 9 s d W 1 u M T Q s M T N 9 J n F 1 b 3 Q 7 L C Z x d W 9 0 O 1 N l Y 3 R p b 2 4 x L 2 5 s c i 0 w M y 1 u Y X R 1 c n N j a H V 0 e m Z s Y W V j a G V u L 1 F 1 Z W x s Z S 5 7 Q 2 9 s d W 1 u M T U s M T R 9 J n F 1 b 3 Q 7 L C Z x d W 9 0 O 1 N l Y 3 R p b 2 4 x L 2 5 s c i 0 w M y 1 u Y X R 1 c n N j a H V 0 e m Z s Y W V j a G V u L 1 F 1 Z W x s Z S 5 7 Q 2 9 s d W 1 u M T Y s M T V 9 J n F 1 b 3 Q 7 L C Z x d W 9 0 O 1 N l Y 3 R p b 2 4 x L 2 5 s c i 0 w M y 1 u Y X R 1 c n N j a H V 0 e m Z s Y W V j a G V u L 1 F 1 Z W x s Z S 5 7 Q 2 9 s d W 1 u M T c s M T Z 9 J n F 1 b 3 Q 7 L C Z x d W 9 0 O 1 N l Y 3 R p b 2 4 x L 2 5 s c i 0 w M y 1 u Y X R 1 c n N j a H V 0 e m Z s Y W V j a G V u L 1 F 1 Z W x s Z S 5 7 Q 2 9 s d W 1 u M T g s M T d 9 J n F 1 b 3 Q 7 L C Z x d W 9 0 O 1 N l Y 3 R p b 2 4 x L 2 5 s c i 0 w M y 1 u Y X R 1 c n N j a H V 0 e m Z s Y W V j a G V u L 1 F 1 Z W x s Z S 5 7 Q 2 9 s d W 1 u M T k s M T h 9 J n F 1 b 3 Q 7 L C Z x d W 9 0 O 1 N l Y 3 R p b 2 4 x L 2 5 s c i 0 w M y 1 u Y X R 1 c n N j a H V 0 e m Z s Y W V j a G V u L 1 F 1 Z W x s Z S 5 7 Q 2 9 s d W 1 u M j A s M T l 9 J n F 1 b 3 Q 7 L C Z x d W 9 0 O 1 N l Y 3 R p b 2 4 x L 2 5 s c i 0 w M y 1 u Y X R 1 c n N j a H V 0 e m Z s Y W V j a G V u L 1 F 1 Z W x s Z S 5 7 Q 2 9 s d W 1 u M j E s M j B 9 J n F 1 b 3 Q 7 L C Z x d W 9 0 O 1 N l Y 3 R p b 2 4 x L 2 5 s c i 0 w M y 1 u Y X R 1 c n N j a H V 0 e m Z s Y W V j a G V u L 1 F 1 Z W x s Z S 5 7 Q 2 9 s d W 1 u M j I s M j F 9 J n F 1 b 3 Q 7 L C Z x d W 9 0 O 1 N l Y 3 R p b 2 4 x L 2 5 s c i 0 w M y 1 u Y X R 1 c n N j a H V 0 e m Z s Y W V j a G V u L 1 F 1 Z W x s Z S 5 7 Q 2 9 s d W 1 u M j M s M j J 9 J n F 1 b 3 Q 7 L C Z x d W 9 0 O 1 N l Y 3 R p b 2 4 x L 2 5 s c i 0 w M y 1 u Y X R 1 c n N j a H V 0 e m Z s Y W V j a G V u L 1 F 1 Z W x s Z S 5 7 Q 2 9 s d W 1 u M j Q s M j N 9 J n F 1 b 3 Q 7 L C Z x d W 9 0 O 1 N l Y 3 R p b 2 4 x L 2 5 s c i 0 w M y 1 u Y X R 1 c n N j a H V 0 e m Z s Y W V j a G V u L 1 F 1 Z W x s Z S 5 7 Q 2 9 s d W 1 u M j U s M j R 9 J n F 1 b 3 Q 7 L C Z x d W 9 0 O 1 N l Y 3 R p b 2 4 x L 2 5 s c i 0 w M y 1 u Y X R 1 c n N j a H V 0 e m Z s Y W V j a G V u L 1 F 1 Z W x s Z S 5 7 Q 2 9 s d W 1 u M j Y s M j V 9 J n F 1 b 3 Q 7 L C Z x d W 9 0 O 1 N l Y 3 R p b 2 4 x L 2 5 s c i 0 w M y 1 u Y X R 1 c n N j a H V 0 e m Z s Y W V j a G V u L 1 F 1 Z W x s Z S 5 7 Q 2 9 s d W 1 u M j c s M j Z 9 J n F 1 b 3 Q 7 L C Z x d W 9 0 O 1 N l Y 3 R p b 2 4 x L 2 5 s c i 0 w M y 1 u Y X R 1 c n N j a H V 0 e m Z s Y W V j a G V u L 1 F 1 Z W x s Z S 5 7 Q 2 9 s d W 1 u M j g s M j d 9 J n F 1 b 3 Q 7 L C Z x d W 9 0 O 1 N l Y 3 R p b 2 4 x L 2 5 s c i 0 w M y 1 u Y X R 1 c n N j a H V 0 e m Z s Y W V j a G V u L 1 F 1 Z W x s Z S 5 7 Q 2 9 s d W 1 u M j k s M j h 9 J n F 1 b 3 Q 7 L C Z x d W 9 0 O 1 N l Y 3 R p b 2 4 x L 2 5 s c i 0 w M y 1 u Y X R 1 c n N j a H V 0 e m Z s Y W V j a G V u L 1 F 1 Z W x s Z S 5 7 Q 2 9 s d W 1 u M z A s M j l 9 J n F 1 b 3 Q 7 L C Z x d W 9 0 O 1 N l Y 3 R p b 2 4 x L 2 5 s c i 0 w M y 1 u Y X R 1 c n N j a H V 0 e m Z s Y W V j a G V u L 1 F 1 Z W x s Z S 5 7 Q 2 9 s d W 1 u M z E s M z B 9 J n F 1 b 3 Q 7 L C Z x d W 9 0 O 1 N l Y 3 R p b 2 4 x L 2 5 s c i 0 w M y 1 u Y X R 1 c n N j a H V 0 e m Z s Y W V j a G V u L 1 F 1 Z W x s Z S 5 7 Q 2 9 s d W 1 u M z I s M z F 9 J n F 1 b 3 Q 7 L C Z x d W 9 0 O 1 N l Y 3 R p b 2 4 x L 2 5 s c i 0 w M y 1 u Y X R 1 c n N j a H V 0 e m Z s Y W V j a G V u L 1 F 1 Z W x s Z S 5 7 Q 2 9 s d W 1 u M z M s M z J 9 J n F 1 b 3 Q 7 L C Z x d W 9 0 O 1 N l Y 3 R p b 2 4 x L 2 5 s c i 0 w M y 1 u Y X R 1 c n N j a H V 0 e m Z s Y W V j a G V u L 1 F 1 Z W x s Z S 5 7 Q 2 9 s d W 1 u M z Q s M z N 9 J n F 1 b 3 Q 7 L C Z x d W 9 0 O 1 N l Y 3 R p b 2 4 x L 2 5 s c i 0 w M y 1 u Y X R 1 c n N j a H V 0 e m Z s Y W V j a G V u L 1 F 1 Z W x s Z S 5 7 Q 2 9 s d W 1 u M z U s M z R 9 J n F 1 b 3 Q 7 L C Z x d W 9 0 O 1 N l Y 3 R p b 2 4 x L 2 5 s c i 0 w M y 1 u Y X R 1 c n N j a H V 0 e m Z s Y W V j a G V u L 1 F 1 Z W x s Z S 5 7 Q 2 9 s d W 1 u M z Y s M z V 9 J n F 1 b 3 Q 7 L C Z x d W 9 0 O 1 N l Y 3 R p b 2 4 x L 2 5 s c i 0 w M y 1 u Y X R 1 c n N j a H V 0 e m Z s Y W V j a G V u L 1 F 1 Z W x s Z S 5 7 Q 2 9 s d W 1 u M z c s M z Z 9 J n F 1 b 3 Q 7 L C Z x d W 9 0 O 1 N l Y 3 R p b 2 4 x L 2 5 s c i 0 w M y 1 u Y X R 1 c n N j a H V 0 e m Z s Y W V j a G V u L 1 F 1 Z W x s Z S 5 7 Q 2 9 s d W 1 u M z g s M z d 9 J n F 1 b 3 Q 7 L C Z x d W 9 0 O 1 N l Y 3 R p b 2 4 x L 2 5 s c i 0 w M y 1 u Y X R 1 c n N j a H V 0 e m Z s Y W V j a G V u L 1 F 1 Z W x s Z S 5 7 Q 2 9 s d W 1 u M z k s M z h 9 J n F 1 b 3 Q 7 L C Z x d W 9 0 O 1 N l Y 3 R p b 2 4 x L 2 5 s c i 0 w M y 1 u Y X R 1 c n N j a H V 0 e m Z s Y W V j a G V u L 1 F 1 Z W x s Z S 5 7 Q 2 9 s d W 1 u N D A s M z l 9 J n F 1 b 3 Q 7 L C Z x d W 9 0 O 1 N l Y 3 R p b 2 4 x L 2 5 s c i 0 w M y 1 u Y X R 1 c n N j a H V 0 e m Z s Y W V j a G V u L 1 F 1 Z W x s Z S 5 7 Q 2 9 s d W 1 u N D E s N D B 9 J n F 1 b 3 Q 7 L C Z x d W 9 0 O 1 N l Y 3 R p b 2 4 x L 2 5 s c i 0 w M y 1 u Y X R 1 c n N j a H V 0 e m Z s Y W V j a G V u L 1 F 1 Z W x s Z S 5 7 Q 2 9 s d W 1 u N D I s N D F 9 J n F 1 b 3 Q 7 L C Z x d W 9 0 O 1 N l Y 3 R p b 2 4 x L 2 5 s c i 0 w M y 1 u Y X R 1 c n N j a H V 0 e m Z s Y W V j a G V u L 1 F 1 Z W x s Z S 5 7 Q 2 9 s d W 1 u N D M s N D J 9 J n F 1 b 3 Q 7 L C Z x d W 9 0 O 1 N l Y 3 R p b 2 4 x L 2 5 s c i 0 w M y 1 u Y X R 1 c n N j a H V 0 e m Z s Y W V j a G V u L 1 F 1 Z W x s Z S 5 7 Q 2 9 s d W 1 u N D Q s N D N 9 J n F 1 b 3 Q 7 L C Z x d W 9 0 O 1 N l Y 3 R p b 2 4 x L 2 5 s c i 0 w M y 1 u Y X R 1 c n N j a H V 0 e m Z s Y W V j a G V u L 1 F 1 Z W x s Z S 5 7 Q 2 9 s d W 1 u N D U s N D R 9 J n F 1 b 3 Q 7 L C Z x d W 9 0 O 1 N l Y 3 R p b 2 4 x L 2 5 s c i 0 w M y 1 u Y X R 1 c n N j a H V 0 e m Z s Y W V j a G V u L 1 F 1 Z W x s Z S 5 7 Q 2 9 s d W 1 u N D Y s N D V 9 J n F 1 b 3 Q 7 L C Z x d W 9 0 O 1 N l Y 3 R p b 2 4 x L 2 5 s c i 0 w M y 1 u Y X R 1 c n N j a H V 0 e m Z s Y W V j a G V u L 1 F 1 Z W x s Z S 5 7 Q 2 9 s d W 1 u N D c s N D Z 9 J n F 1 b 3 Q 7 L C Z x d W 9 0 O 1 N l Y 3 R p b 2 4 x L 2 5 s c i 0 w M y 1 u Y X R 1 c n N j a H V 0 e m Z s Y W V j a G V u L 1 F 1 Z W x s Z S 5 7 Q 2 9 s d W 1 u N D g s N D d 9 J n F 1 b 3 Q 7 L C Z x d W 9 0 O 1 N l Y 3 R p b 2 4 x L 2 5 s c i 0 w M y 1 u Y X R 1 c n N j a H V 0 e m Z s Y W V j a G V u L 1 F 1 Z W x s Z S 5 7 Q 2 9 s d W 1 u N D k s N D h 9 J n F 1 b 3 Q 7 L C Z x d W 9 0 O 1 N l Y 3 R p b 2 4 x L 2 5 s c i 0 w M y 1 u Y X R 1 c n N j a H V 0 e m Z s Y W V j a G V u L 1 F 1 Z W x s Z S 5 7 Q 2 9 s d W 1 u N T A s N D l 9 J n F 1 b 3 Q 7 L C Z x d W 9 0 O 1 N l Y 3 R p b 2 4 x L 2 5 s c i 0 w M y 1 u Y X R 1 c n N j a H V 0 e m Z s Y W V j a G V u L 1 F 1 Z W x s Z S 5 7 Q 2 9 s d W 1 u N T E s N T B 9 J n F 1 b 3 Q 7 L C Z x d W 9 0 O 1 N l Y 3 R p b 2 4 x L 2 5 s c i 0 w M y 1 u Y X R 1 c n N j a H V 0 e m Z s Y W V j a G V u L 1 F 1 Z W x s Z S 5 7 Q 2 9 s d W 1 u N T I s N T F 9 J n F 1 b 3 Q 7 L C Z x d W 9 0 O 1 N l Y 3 R p b 2 4 x L 2 5 s c i 0 w M y 1 u Y X R 1 c n N j a H V 0 e m Z s Y W V j a G V u L 1 F 1 Z W x s Z S 5 7 Q 2 9 s d W 1 u N T M s N T J 9 J n F 1 b 3 Q 7 L C Z x d W 9 0 O 1 N l Y 3 R p b 2 4 x L 2 5 s c i 0 w M y 1 u Y X R 1 c n N j a H V 0 e m Z s Y W V j a G V u L 1 F 1 Z W x s Z S 5 7 Q 2 9 s d W 1 u N T Q s N T N 9 J n F 1 b 3 Q 7 L C Z x d W 9 0 O 1 N l Y 3 R p b 2 4 x L 2 5 s c i 0 w M y 1 u Y X R 1 c n N j a H V 0 e m Z s Y W V j a G V u L 1 F 1 Z W x s Z S 5 7 Q 2 9 s d W 1 u N T U s N T R 9 J n F 1 b 3 Q 7 L C Z x d W 9 0 O 1 N l Y 3 R p b 2 4 x L 2 5 s c i 0 w M y 1 u Y X R 1 c n N j a H V 0 e m Z s Y W V j a G V u L 1 F 1 Z W x s Z S 5 7 Q 2 9 s d W 1 u N T Y s N T V 9 J n F 1 b 3 Q 7 L C Z x d W 9 0 O 1 N l Y 3 R p b 2 4 x L 2 5 s c i 0 w M y 1 u Y X R 1 c n N j a H V 0 e m Z s Y W V j a G V u L 1 F 1 Z W x s Z S 5 7 Q 2 9 s d W 1 u N T c s N T Z 9 J n F 1 b 3 Q 7 L C Z x d W 9 0 O 1 N l Y 3 R p b 2 4 x L 2 5 s c i 0 w M y 1 u Y X R 1 c n N j a H V 0 e m Z s Y W V j a G V u L 1 F 1 Z W x s Z S 5 7 Q 2 9 s d W 1 u N T g s N T d 9 J n F 1 b 3 Q 7 L C Z x d W 9 0 O 1 N l Y 3 R p b 2 4 x L 2 5 s c i 0 w M y 1 u Y X R 1 c n N j a H V 0 e m Z s Y W V j a G V u L 1 F 1 Z W x s Z S 5 7 Q 2 9 s d W 1 u N T k s N T h 9 J n F 1 b 3 Q 7 L C Z x d W 9 0 O 1 N l Y 3 R p b 2 4 x L 2 5 s c i 0 w M y 1 u Y X R 1 c n N j a H V 0 e m Z s Y W V j a G V u L 1 F 1 Z W x s Z S 5 7 Q 2 9 s d W 1 u N j A s N T l 9 J n F 1 b 3 Q 7 L C Z x d W 9 0 O 1 N l Y 3 R p b 2 4 x L 2 5 s c i 0 w M y 1 u Y X R 1 c n N j a H V 0 e m Z s Y W V j a G V u L 1 F 1 Z W x s Z S 5 7 Q 2 9 s d W 1 u N j E s N j B 9 J n F 1 b 3 Q 7 L C Z x d W 9 0 O 1 N l Y 3 R p b 2 4 x L 2 5 s c i 0 w M y 1 u Y X R 1 c n N j a H V 0 e m Z s Y W V j a G V u L 1 F 1 Z W x s Z S 5 7 Q 2 9 s d W 1 u N j I s N j F 9 J n F 1 b 3 Q 7 L C Z x d W 9 0 O 1 N l Y 3 R p b 2 4 x L 2 5 s c i 0 w M y 1 u Y X R 1 c n N j a H V 0 e m Z s Y W V j a G V u L 1 F 1 Z W x s Z S 5 7 Q 2 9 s d W 1 u N j M s N j J 9 J n F 1 b 3 Q 7 L C Z x d W 9 0 O 1 N l Y 3 R p b 2 4 x L 2 5 s c i 0 w M y 1 u Y X R 1 c n N j a H V 0 e m Z s Y W V j a G V u L 1 F 1 Z W x s Z S 5 7 Q 2 9 s d W 1 u N j Q s N j N 9 J n F 1 b 3 Q 7 L C Z x d W 9 0 O 1 N l Y 3 R p b 2 4 x L 2 5 s c i 0 w M y 1 u Y X R 1 c n N j a H V 0 e m Z s Y W V j a G V u L 1 F 1 Z W x s Z S 5 7 Q 2 9 s d W 1 u N j U s N j R 9 J n F 1 b 3 Q 7 L C Z x d W 9 0 O 1 N l Y 3 R p b 2 4 x L 2 5 s c i 0 w M y 1 u Y X R 1 c n N j a H V 0 e m Z s Y W V j a G V u L 1 F 1 Z W x s Z S 5 7 Q 2 9 s d W 1 u N j Y s N j V 9 J n F 1 b 3 Q 7 L C Z x d W 9 0 O 1 N l Y 3 R p b 2 4 x L 2 5 s c i 0 w M y 1 u Y X R 1 c n N j a H V 0 e m Z s Y W V j a G V u L 1 F 1 Z W x s Z S 5 7 Q 2 9 s d W 1 u N j c s N j Z 9 J n F 1 b 3 Q 7 L C Z x d W 9 0 O 1 N l Y 3 R p b 2 4 x L 2 5 s c i 0 w M y 1 u Y X R 1 c n N j a H V 0 e m Z s Y W V j a G V u L 1 F 1 Z W x s Z S 5 7 Q 2 9 s d W 1 u N j g s N j d 9 J n F 1 b 3 Q 7 L C Z x d W 9 0 O 1 N l Y 3 R p b 2 4 x L 2 5 s c i 0 w M y 1 u Y X R 1 c n N j a H V 0 e m Z s Y W V j a G V u L 1 F 1 Z W x s Z S 5 7 Q 2 9 s d W 1 u N j k s N j h 9 J n F 1 b 3 Q 7 L C Z x d W 9 0 O 1 N l Y 3 R p b 2 4 x L 2 5 s c i 0 w M y 1 u Y X R 1 c n N j a H V 0 e m Z s Y W V j a G V u L 1 F 1 Z W x s Z S 5 7 Q 2 9 s d W 1 u N z A s N j l 9 J n F 1 b 3 Q 7 L C Z x d W 9 0 O 1 N l Y 3 R p b 2 4 x L 2 5 s c i 0 w M y 1 u Y X R 1 c n N j a H V 0 e m Z s Y W V j a G V u L 1 F 1 Z W x s Z S 5 7 Q 2 9 s d W 1 u N z E s N z B 9 J n F 1 b 3 Q 7 L C Z x d W 9 0 O 1 N l Y 3 R p b 2 4 x L 2 5 s c i 0 w M y 1 u Y X R 1 c n N j a H V 0 e m Z s Y W V j a G V u L 1 F 1 Z W x s Z S 5 7 Q 2 9 s d W 1 u N z I s N z F 9 J n F 1 b 3 Q 7 L C Z x d W 9 0 O 1 N l Y 3 R p b 2 4 x L 2 5 s c i 0 w M y 1 u Y X R 1 c n N j a H V 0 e m Z s Y W V j a G V u L 1 F 1 Z W x s Z S 5 7 Q 2 9 s d W 1 u N z M s N z J 9 J n F 1 b 3 Q 7 L C Z x d W 9 0 O 1 N l Y 3 R p b 2 4 x L 2 5 s c i 0 w M y 1 u Y X R 1 c n N j a H V 0 e m Z s Y W V j a G V u L 1 F 1 Z W x s Z S 5 7 Q 2 9 s d W 1 u N z Q s N z N 9 J n F 1 b 3 Q 7 L C Z x d W 9 0 O 1 N l Y 3 R p b 2 4 x L 2 5 s c i 0 w M y 1 u Y X R 1 c n N j a H V 0 e m Z s Y W V j a G V u L 1 F 1 Z W x s Z S 5 7 Q 2 9 s d W 1 u N z U s N z R 9 J n F 1 b 3 Q 7 L C Z x d W 9 0 O 1 N l Y 3 R p b 2 4 x L 2 5 s c i 0 w M y 1 u Y X R 1 c n N j a H V 0 e m Z s Y W V j a G V u L 1 F 1 Z W x s Z S 5 7 Q 2 9 s d W 1 u N z Y s N z V 9 J n F 1 b 3 Q 7 L C Z x d W 9 0 O 1 N l Y 3 R p b 2 4 x L 2 5 s c i 0 w M y 1 u Y X R 1 c n N j a H V 0 e m Z s Y W V j a G V u L 1 F 1 Z W x s Z S 5 7 Q 2 9 s d W 1 u N z c s N z Z 9 J n F 1 b 3 Q 7 L C Z x d W 9 0 O 1 N l Y 3 R p b 2 4 x L 2 5 s c i 0 w M y 1 u Y X R 1 c n N j a H V 0 e m Z s Y W V j a G V u L 1 F 1 Z W x s Z S 5 7 Q 2 9 s d W 1 u N z g s N z d 9 J n F 1 b 3 Q 7 L C Z x d W 9 0 O 1 N l Y 3 R p b 2 4 x L 2 5 s c i 0 w M y 1 u Y X R 1 c n N j a H V 0 e m Z s Y W V j a G V u L 1 F 1 Z W x s Z S 5 7 Q 2 9 s d W 1 u N z k s N z h 9 J n F 1 b 3 Q 7 L C Z x d W 9 0 O 1 N l Y 3 R p b 2 4 x L 2 5 s c i 0 w M y 1 u Y X R 1 c n N j a H V 0 e m Z s Y W V j a G V u L 1 F 1 Z W x s Z S 5 7 Q 2 9 s d W 1 u O D A s N z l 9 J n F 1 b 3 Q 7 L C Z x d W 9 0 O 1 N l Y 3 R p b 2 4 x L 2 5 s c i 0 w M y 1 u Y X R 1 c n N j a H V 0 e m Z s Y W V j a G V u L 1 F 1 Z W x s Z S 5 7 Q 2 9 s d W 1 u O D E s O D B 9 J n F 1 b 3 Q 7 L C Z x d W 9 0 O 1 N l Y 3 R p b 2 4 x L 2 5 s c i 0 w M y 1 u Y X R 1 c n N j a H V 0 e m Z s Y W V j a G V u L 1 F 1 Z W x s Z S 5 7 Q 2 9 s d W 1 u O D I s O D F 9 J n F 1 b 3 Q 7 L C Z x d W 9 0 O 1 N l Y 3 R p b 2 4 x L 2 5 s c i 0 w M y 1 u Y X R 1 c n N j a H V 0 e m Z s Y W V j a G V u L 1 F 1 Z W x s Z S 5 7 Q 2 9 s d W 1 u O D M s O D J 9 J n F 1 b 3 Q 7 L C Z x d W 9 0 O 1 N l Y 3 R p b 2 4 x L 2 5 s c i 0 w M y 1 u Y X R 1 c n N j a H V 0 e m Z s Y W V j a G V u L 1 F 1 Z W x s Z S 5 7 Q 2 9 s d W 1 u O D Q s O D N 9 J n F 1 b 3 Q 7 L C Z x d W 9 0 O 1 N l Y 3 R p b 2 4 x L 2 5 s c i 0 w M y 1 u Y X R 1 c n N j a H V 0 e m Z s Y W V j a G V u L 1 F 1 Z W x s Z S 5 7 Q 2 9 s d W 1 u O D U s O D R 9 J n F 1 b 3 Q 7 L C Z x d W 9 0 O 1 N l Y 3 R p b 2 4 x L 2 5 s c i 0 w M y 1 u Y X R 1 c n N j a H V 0 e m Z s Y W V j a G V u L 1 F 1 Z W x s Z S 5 7 Q 2 9 s d W 1 u O D Y s O D V 9 J n F 1 b 3 Q 7 L C Z x d W 9 0 O 1 N l Y 3 R p b 2 4 x L 2 5 s c i 0 w M y 1 u Y X R 1 c n N j a H V 0 e m Z s Y W V j a G V u L 1 F 1 Z W x s Z S 5 7 Q 2 9 s d W 1 u O D c s O D Z 9 J n F 1 b 3 Q 7 L C Z x d W 9 0 O 1 N l Y 3 R p b 2 4 x L 2 5 s c i 0 w M y 1 u Y X R 1 c n N j a H V 0 e m Z s Y W V j a G V u L 1 F 1 Z W x s Z S 5 7 Q 2 9 s d W 1 u O D g s O D d 9 J n F 1 b 3 Q 7 L C Z x d W 9 0 O 1 N l Y 3 R p b 2 4 x L 2 5 s c i 0 w M y 1 u Y X R 1 c n N j a H V 0 e m Z s Y W V j a G V u L 1 F 1 Z W x s Z S 5 7 Q 2 9 s d W 1 u O D k s O D h 9 J n F 1 b 3 Q 7 L C Z x d W 9 0 O 1 N l Y 3 R p b 2 4 x L 2 5 s c i 0 w M y 1 u Y X R 1 c n N j a H V 0 e m Z s Y W V j a G V u L 1 F 1 Z W x s Z S 5 7 Q 2 9 s d W 1 u O T A s O D l 9 J n F 1 b 3 Q 7 L C Z x d W 9 0 O 1 N l Y 3 R p b 2 4 x L 2 5 s c i 0 w M y 1 u Y X R 1 c n N j a H V 0 e m Z s Y W V j a G V u L 1 F 1 Z W x s Z S 5 7 Q 2 9 s d W 1 u O T E s O T B 9 J n F 1 b 3 Q 7 L C Z x d W 9 0 O 1 N l Y 3 R p b 2 4 x L 2 5 s c i 0 w M y 1 u Y X R 1 c n N j a H V 0 e m Z s Y W V j a G V u L 1 F 1 Z W x s Z S 5 7 Q 2 9 s d W 1 u O T I s O T F 9 J n F 1 b 3 Q 7 L C Z x d W 9 0 O 1 N l Y 3 R p b 2 4 x L 2 5 s c i 0 w M y 1 u Y X R 1 c n N j a H V 0 e m Z s Y W V j a G V u L 1 F 1 Z W x s Z S 5 7 Q 2 9 s d W 1 u O T M s O T J 9 J n F 1 b 3 Q 7 L C Z x d W 9 0 O 1 N l Y 3 R p b 2 4 x L 2 5 s c i 0 w M y 1 u Y X R 1 c n N j a H V 0 e m Z s Y W V j a G V u L 1 F 1 Z W x s Z S 5 7 Q 2 9 s d W 1 u O T Q s O T N 9 J n F 1 b 3 Q 7 L C Z x d W 9 0 O 1 N l Y 3 R p b 2 4 x L 2 5 s c i 0 w M y 1 u Y X R 1 c n N j a H V 0 e m Z s Y W V j a G V u L 1 F 1 Z W x s Z S 5 7 Q 2 9 s d W 1 u O T U s O T R 9 J n F 1 b 3 Q 7 L C Z x d W 9 0 O 1 N l Y 3 R p b 2 4 x L 2 5 s c i 0 w M y 1 u Y X R 1 c n N j a H V 0 e m Z s Y W V j a G V u L 1 F 1 Z W x s Z S 5 7 Q 2 9 s d W 1 u O T Y s O T V 9 J n F 1 b 3 Q 7 L C Z x d W 9 0 O 1 N l Y 3 R p b 2 4 x L 2 5 s c i 0 w M y 1 u Y X R 1 c n N j a H V 0 e m Z s Y W V j a G V u L 1 F 1 Z W x s Z S 5 7 Q 2 9 s d W 1 u O T c s O T Z 9 J n F 1 b 3 Q 7 L C Z x d W 9 0 O 1 N l Y 3 R p b 2 4 x L 2 5 s c i 0 w M y 1 u Y X R 1 c n N j a H V 0 e m Z s Y W V j a G V u L 1 F 1 Z W x s Z S 5 7 Q 2 9 s d W 1 u O T g s O T d 9 J n F 1 b 3 Q 7 L C Z x d W 9 0 O 1 N l Y 3 R p b 2 4 x L 2 5 s c i 0 w M y 1 u Y X R 1 c n N j a H V 0 e m Z s Y W V j a G V u L 1 F 1 Z W x s Z S 5 7 Q 2 9 s d W 1 u O T k s O T h 9 J n F 1 b 3 Q 7 L C Z x d W 9 0 O 1 N l Y 3 R p b 2 4 x L 2 5 s c i 0 w M y 1 u Y X R 1 c n N j a H V 0 e m Z s Y W V j a G V u L 1 F 1 Z W x s Z S 5 7 Q 2 9 s d W 1 u M T A w L D k 5 f S Z x d W 9 0 O y w m c X V v d D t T Z W N 0 a W 9 u M S 9 u b H I t M D M t b m F 0 d X J z Y 2 h 1 d H p m b G F l Y 2 h l b i 9 R d W V s b G U u e 0 N v b H V t b j E w M S w x M D B 9 J n F 1 b 3 Q 7 L C Z x d W 9 0 O 1 N l Y 3 R p b 2 4 x L 2 5 s c i 0 w M y 1 u Y X R 1 c n N j a H V 0 e m Z s Y W V j a G V u L 1 F 1 Z W x s Z S 5 7 Q 2 9 s d W 1 u M T A y L D E w M X 0 m c X V v d D s s J n F 1 b 3 Q 7 U 2 V j d G l v b j E v b m x y L T A z L W 5 h d H V y c 2 N o d X R 6 Z m x h Z W N o Z W 4 v U X V l b G x l L n t D b 2 x 1 b W 4 x M D M s M T A y f S Z x d W 9 0 O y w m c X V v d D t T Z W N 0 a W 9 u M S 9 u b H I t M D M t b m F 0 d X J z Y 2 h 1 d H p m b G F l Y 2 h l b i 9 R d W V s b G U u e 0 N v b H V t b j E w N C w x M D N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5 s c i 0 w M y 1 u Y X R 1 c n N j a H V 0 e m Z s Y W V j a G V u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5 s c i 0 w M y 1 u Y X R 1 c n N j a H V 0 e m Z s Y W V j a G V u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5 s c i 0 w M y 1 u Y X R 1 c n N j a H V 0 e m Z s Y W V j a G V u L 0 g l Q z M l Q j Z o Z X I l M j B n Z X N 0 d W Z 0 Z S U y M E h l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5 s c i 0 w N C 1 z d G l j a 3 N 0 b 2 Z m Z W l u d H J h Z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u b H J f M D R f c 3 R p Y 2 t z d G 9 m Z m V p b n R y Y W c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d G l j a 3 N 0 b 2 Z m Z W l u d H J h Z y I g L z 4 8 R W 5 0 c n k g V H l w Z T 0 i U m V j b 3 Z l c n l U Y X J n Z X R D b 2 x 1 b W 4 i I F Z h b H V l P S J s M S I g L z 4 8 R W 5 0 c n k g V H l w Z T 0 i U m V j b 3 Z l c n l U Y X J n Z X R S b 3 c i I F Z h b H V l P S J s M j A i I C 8 + P E V u d H J 5 I F R 5 c G U 9 I k Z p b G x F c n J v c k N v d W 5 0 I i B W Y W x 1 Z T 0 i b D A i I C 8 + P E V u d H J 5 I F R 5 c G U 9 I k Z p b G x M Y X N 0 V X B k Y X R l Z C I g V m F s d W U 9 I m Q y M D I z L T E x L T I 4 V D A 5 O j E 3 O j U w L j E 5 M T k w M j F a I i A v P j x F b n R y e S B U e X B l P S J G a W x s Q 2 9 s d W 1 u V H l w Z X M i I F Z h b H V l P S J z Q m d Z R 0 J n W U d C Z 1 l H Q m d Z R 0 J n W U d C Z 1 l H Q m d Z R 0 J n W U d C Z 1 l H Q m d Z R 0 J n W U d C Z 1 l H Q m d Z R y I g L z 4 8 R W 5 0 c n k g V H l w Z T 0 i R m l s b E N v b H V t b k 5 h b W V z I i B W Y W x 1 Z T 0 i c 1 s m c X V v d D t D b 2 x 1 b W 4 x J n F 1 b 3 Q 7 L C Z x d W 9 0 O z E 5 O D M m c X V v d D s s J n F 1 b 3 Q 7 M T k 4 N C Z x d W 9 0 O y w m c X V v d D s x O T g 1 J n F 1 b 3 Q 7 L C Z x d W 9 0 O z E 5 O D Y m c X V v d D s s J n F 1 b 3 Q 7 M T k 4 N y Z x d W 9 0 O y w m c X V v d D s x O T g 4 J n F 1 b 3 Q 7 L C Z x d W 9 0 O z E 5 O D k m c X V v d D s s J n F 1 b 3 Q 7 M T k 5 M C Z x d W 9 0 O y w m c X V v d D s x O T k x J n F 1 b 3 Q 7 L C Z x d W 9 0 O z E 5 O T I m c X V v d D s s J n F 1 b 3 Q 7 M T k 5 M y Z x d W 9 0 O y w m c X V v d D s x O T k 0 J n F 1 b 3 Q 7 L C Z x d W 9 0 O z E 5 O T U m c X V v d D s s J n F 1 b 3 Q 7 M T k 5 N i Z x d W 9 0 O y w m c X V v d D s x O T k 3 J n F 1 b 3 Q 7 L C Z x d W 9 0 O z E 5 O T g m c X V v d D s s J n F 1 b 3 Q 7 M T k 5 O S Z x d W 9 0 O y w m c X V v d D s y M D A w J n F 1 b 3 Q 7 L C Z x d W 9 0 O z I w M D E m c X V v d D s s J n F 1 b 3 Q 7 M j A w M i Z x d W 9 0 O y w m c X V v d D s y M D A z J n F 1 b 3 Q 7 L C Z x d W 9 0 O z I w M D Q m c X V v d D s s J n F 1 b 3 Q 7 M j A w N S Z x d W 9 0 O y w m c X V v d D s y M D A 2 J n F 1 b 3 Q 7 L C Z x d W 9 0 O z I w M D c m c X V v d D s s J n F 1 b 3 Q 7 M j A w O C Z x d W 9 0 O y w m c X V v d D s y M D A 5 J n F 1 b 3 Q 7 L C Z x d W 9 0 O z I w M T A m c X V v d D s s J n F 1 b 3 Q 7 M j A x M S Z x d W 9 0 O y w m c X V v d D s y M D E y J n F 1 b 3 Q 7 L C Z x d W 9 0 O z I w M T M m c X V v d D s s J n F 1 b 3 Q 7 M j A x N C Z x d W 9 0 O y w m c X V v d D s y M D E 1 J n F 1 b 3 Q 7 L C Z x d W 9 0 O z I w M T Y m c X V v d D s s J n F 1 b 3 Q 7 M j A x N y Z x d W 9 0 O y w m c X V v d D s y M D E 4 J n F 1 b 3 Q 7 L C Z x d W 9 0 O z I w M T k m c X V v d D s s J n F 1 b 3 Q 7 M j A y M C Z x d W 9 0 O 1 0 i I C 8 + P E V u d H J 5 I F R 5 c G U 9 I k Z p b G x T d G F 0 d X M i I F Z h b H V l P S J z Q 2 9 t c G x l d G U i I C 8 + P E V u d H J 5 I F R 5 c G U 9 I l F 1 Z X J 5 S U Q i I F Z h b H V l P S J z O G F m M j g x M W I t M z h j Z C 0 0 O T N j L W F j N T Y t N z k w M G N k N G I 2 M D c 4 I i A v P j x F b n R y e S B U e X B l P S J G a W x s R X J y b 3 J D b 2 R l I i B W Y W x 1 Z T 0 i c 1 V u a 2 5 v d 2 4 i I C 8 + P E V u d H J 5 I F R 5 c G U 9 I k Z p b G x D b 3 V u d C I g V m F s d W U 9 I m w x I i A v P j x F b n R y e S B U e X B l P S J S Z W x h d G l v b n N o a X B J b m Z v Q 2 9 u d G F p b m V y I i B W Y W x 1 Z T 0 i c 3 s m c X V v d D t j b 2 x 1 b W 5 D b 3 V u d C Z x d W 9 0 O z o z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m x y L T A 0 L X N 0 a W N r c 3 R v Z m Z l a W 5 0 c m F n L 0 d l w 6 R u Z G V y d G V y I F R 5 c C 5 7 L D B 9 J n F 1 b 3 Q 7 L C Z x d W 9 0 O 1 N l Y 3 R p b 2 4 x L 2 5 s c i 0 w N C 1 z d G l j a 3 N 0 b 2 Z m Z W l u d H J h Z y 9 R d W V s b G U u e 0 N v b H V t b j I s M X 0 m c X V v d D s s J n F 1 b 3 Q 7 U 2 V j d G l v b j E v b m x y L T A 0 L X N 0 a W N r c 3 R v Z m Z l a W 5 0 c m F n L 1 F 1 Z W x s Z S 5 7 Q 2 9 s d W 1 u M y w y f S Z x d W 9 0 O y w m c X V v d D t T Z W N 0 a W 9 u M S 9 u b H I t M D Q t c 3 R p Y 2 t z d G 9 m Z m V p b n R y Y W c v U X V l b G x l L n t D b 2 x 1 b W 4 0 L D N 9 J n F 1 b 3 Q 7 L C Z x d W 9 0 O 1 N l Y 3 R p b 2 4 x L 2 5 s c i 0 w N C 1 z d G l j a 3 N 0 b 2 Z m Z W l u d H J h Z y 9 R d W V s b G U u e 0 N v b H V t b j U s N H 0 m c X V v d D s s J n F 1 b 3 Q 7 U 2 V j d G l v b j E v b m x y L T A 0 L X N 0 a W N r c 3 R v Z m Z l a W 5 0 c m F n L 1 F 1 Z W x s Z S 5 7 Q 2 9 s d W 1 u N i w 1 f S Z x d W 9 0 O y w m c X V v d D t T Z W N 0 a W 9 u M S 9 u b H I t M D Q t c 3 R p Y 2 t z d G 9 m Z m V p b n R y Y W c v U X V l b G x l L n t D b 2 x 1 b W 4 3 L D Z 9 J n F 1 b 3 Q 7 L C Z x d W 9 0 O 1 N l Y 3 R p b 2 4 x L 2 5 s c i 0 w N C 1 z d G l j a 3 N 0 b 2 Z m Z W l u d H J h Z y 9 R d W V s b G U u e 0 N v b H V t b j g s N 3 0 m c X V v d D s s J n F 1 b 3 Q 7 U 2 V j d G l v b j E v b m x y L T A 0 L X N 0 a W N r c 3 R v Z m Z l a W 5 0 c m F n L 1 F 1 Z W x s Z S 5 7 Q 2 9 s d W 1 u O S w 4 f S Z x d W 9 0 O y w m c X V v d D t T Z W N 0 a W 9 u M S 9 u b H I t M D Q t c 3 R p Y 2 t z d G 9 m Z m V p b n R y Y W c v U X V l b G x l L n t D b 2 x 1 b W 4 x M C w 5 f S Z x d W 9 0 O y w m c X V v d D t T Z W N 0 a W 9 u M S 9 u b H I t M D Q t c 3 R p Y 2 t z d G 9 m Z m V p b n R y Y W c v U X V l b G x l L n t D b 2 x 1 b W 4 x M S w x M H 0 m c X V v d D s s J n F 1 b 3 Q 7 U 2 V j d G l v b j E v b m x y L T A 0 L X N 0 a W N r c 3 R v Z m Z l a W 5 0 c m F n L 1 F 1 Z W x s Z S 5 7 Q 2 9 s d W 1 u M T I s M T F 9 J n F 1 b 3 Q 7 L C Z x d W 9 0 O 1 N l Y 3 R p b 2 4 x L 2 5 s c i 0 w N C 1 z d G l j a 3 N 0 b 2 Z m Z W l u d H J h Z y 9 R d W V s b G U u e 0 N v b H V t b j E z L D E y f S Z x d W 9 0 O y w m c X V v d D t T Z W N 0 a W 9 u M S 9 u b H I t M D Q t c 3 R p Y 2 t z d G 9 m Z m V p b n R y Y W c v U X V l b G x l L n t D b 2 x 1 b W 4 x N C w x M 3 0 m c X V v d D s s J n F 1 b 3 Q 7 U 2 V j d G l v b j E v b m x y L T A 0 L X N 0 a W N r c 3 R v Z m Z l a W 5 0 c m F n L 1 F 1 Z W x s Z S 5 7 Q 2 9 s d W 1 u M T U s M T R 9 J n F 1 b 3 Q 7 L C Z x d W 9 0 O 1 N l Y 3 R p b 2 4 x L 2 5 s c i 0 w N C 1 z d G l j a 3 N 0 b 2 Z m Z W l u d H J h Z y 9 R d W V s b G U u e 0 N v b H V t b j E 2 L D E 1 f S Z x d W 9 0 O y w m c X V v d D t T Z W N 0 a W 9 u M S 9 u b H I t M D Q t c 3 R p Y 2 t z d G 9 m Z m V p b n R y Y W c v U X V l b G x l L n t D b 2 x 1 b W 4 x N y w x N n 0 m c X V v d D s s J n F 1 b 3 Q 7 U 2 V j d G l v b j E v b m x y L T A 0 L X N 0 a W N r c 3 R v Z m Z l a W 5 0 c m F n L 1 F 1 Z W x s Z S 5 7 Q 2 9 s d W 1 u M T g s M T d 9 J n F 1 b 3 Q 7 L C Z x d W 9 0 O 1 N l Y 3 R p b 2 4 x L 2 5 s c i 0 w N C 1 z d G l j a 3 N 0 b 2 Z m Z W l u d H J h Z y 9 R d W V s b G U u e 0 N v b H V t b j E 5 L D E 4 f S Z x d W 9 0 O y w m c X V v d D t T Z W N 0 a W 9 u M S 9 u b H I t M D Q t c 3 R p Y 2 t z d G 9 m Z m V p b n R y Y W c v U X V l b G x l L n t D b 2 x 1 b W 4 y M C w x O X 0 m c X V v d D s s J n F 1 b 3 Q 7 U 2 V j d G l v b j E v b m x y L T A 0 L X N 0 a W N r c 3 R v Z m Z l a W 5 0 c m F n L 1 F 1 Z W x s Z S 5 7 Q 2 9 s d W 1 u M j E s M j B 9 J n F 1 b 3 Q 7 L C Z x d W 9 0 O 1 N l Y 3 R p b 2 4 x L 2 5 s c i 0 w N C 1 z d G l j a 3 N 0 b 2 Z m Z W l u d H J h Z y 9 R d W V s b G U u e 0 N v b H V t b j I y L D I x f S Z x d W 9 0 O y w m c X V v d D t T Z W N 0 a W 9 u M S 9 u b H I t M D Q t c 3 R p Y 2 t z d G 9 m Z m V p b n R y Y W c v U X V l b G x l L n t D b 2 x 1 b W 4 y M y w y M n 0 m c X V v d D s s J n F 1 b 3 Q 7 U 2 V j d G l v b j E v b m x y L T A 0 L X N 0 a W N r c 3 R v Z m Z l a W 5 0 c m F n L 1 F 1 Z W x s Z S 5 7 Q 2 9 s d W 1 u M j Q s M j N 9 J n F 1 b 3 Q 7 L C Z x d W 9 0 O 1 N l Y 3 R p b 2 4 x L 2 5 s c i 0 w N C 1 z d G l j a 3 N 0 b 2 Z m Z W l u d H J h Z y 9 R d W V s b G U u e 0 N v b H V t b j I 1 L D I 0 f S Z x d W 9 0 O y w m c X V v d D t T Z W N 0 a W 9 u M S 9 u b H I t M D Q t c 3 R p Y 2 t z d G 9 m Z m V p b n R y Y W c v U X V l b G x l L n t D b 2 x 1 b W 4 y N i w y N X 0 m c X V v d D s s J n F 1 b 3 Q 7 U 2 V j d G l v b j E v b m x y L T A 0 L X N 0 a W N r c 3 R v Z m Z l a W 5 0 c m F n L 1 F 1 Z W x s Z S 5 7 Q 2 9 s d W 1 u M j c s M j Z 9 J n F 1 b 3 Q 7 L C Z x d W 9 0 O 1 N l Y 3 R p b 2 4 x L 2 5 s c i 0 w N C 1 z d G l j a 3 N 0 b 2 Z m Z W l u d H J h Z y 9 R d W V s b G U u e 0 N v b H V t b j I 4 L D I 3 f S Z x d W 9 0 O y w m c X V v d D t T Z W N 0 a W 9 u M S 9 u b H I t M D Q t c 3 R p Y 2 t z d G 9 m Z m V p b n R y Y W c v U X V l b G x l L n t D b 2 x 1 b W 4 y O S w y O H 0 m c X V v d D s s J n F 1 b 3 Q 7 U 2 V j d G l v b j E v b m x y L T A 0 L X N 0 a W N r c 3 R v Z m Z l a W 5 0 c m F n L 1 F 1 Z W x s Z S 5 7 Q 2 9 s d W 1 u M z A s M j l 9 J n F 1 b 3 Q 7 L C Z x d W 9 0 O 1 N l Y 3 R p b 2 4 x L 2 5 s c i 0 w N C 1 z d G l j a 3 N 0 b 2 Z m Z W l u d H J h Z y 9 R d W V s b G U u e 0 N v b H V t b j M x L D M w f S Z x d W 9 0 O y w m c X V v d D t T Z W N 0 a W 9 u M S 9 u b H I t M D Q t c 3 R p Y 2 t z d G 9 m Z m V p b n R y Y W c v U X V l b G x l L n t D b 2 x 1 b W 4 z M i w z M X 0 m c X V v d D s s J n F 1 b 3 Q 7 U 2 V j d G l v b j E v b m x y L T A 0 L X N 0 a W N r c 3 R v Z m Z l a W 5 0 c m F n L 1 F 1 Z W x s Z S 5 7 Q 2 9 s d W 1 u M z M s M z J 9 J n F 1 b 3 Q 7 L C Z x d W 9 0 O 1 N l Y 3 R p b 2 4 x L 2 5 s c i 0 w N C 1 z d G l j a 3 N 0 b 2 Z m Z W l u d H J h Z y 9 R d W V s b G U u e 0 N v b H V t b j M 0 L D M z f S Z x d W 9 0 O y w m c X V v d D t T Z W N 0 a W 9 u M S 9 u b H I t M D Q t c 3 R p Y 2 t z d G 9 m Z m V p b n R y Y W c v U X V l b G x l L n t D b 2 x 1 b W 4 z N S w z N H 0 m c X V v d D s s J n F 1 b 3 Q 7 U 2 V j d G l v b j E v b m x y L T A 0 L X N 0 a W N r c 3 R v Z m Z l a W 5 0 c m F n L 1 F 1 Z W x s Z S 5 7 Q 2 9 s d W 1 u M z Y s M z V 9 J n F 1 b 3 Q 7 L C Z x d W 9 0 O 1 N l Y 3 R p b 2 4 x L 2 5 s c i 0 w N C 1 z d G l j a 3 N 0 b 2 Z m Z W l u d H J h Z y 9 R d W V s b G U u e 0 N v b H V t b j M 3 L D M 2 f S Z x d W 9 0 O y w m c X V v d D t T Z W N 0 a W 9 u M S 9 u b H I t M D Q t c 3 R p Y 2 t z d G 9 m Z m V p b n R y Y W c v U X V l b G x l L n t D b 2 x 1 b W 4 z O C w z N 3 0 m c X V v d D s s J n F 1 b 3 Q 7 U 2 V j d G l v b j E v b m x y L T A 0 L X N 0 a W N r c 3 R v Z m Z l a W 5 0 c m F n L 1 F 1 Z W x s Z S 5 7 Q 2 9 s d W 1 u M z k s M z h 9 J n F 1 b 3 Q 7 X S w m c X V v d D t D b 2 x 1 b W 5 D b 3 V u d C Z x d W 9 0 O z o z O S w m c X V v d D t L Z X l D b 2 x 1 b W 5 O Y W 1 l c y Z x d W 9 0 O z p b X S w m c X V v d D t D b 2 x 1 b W 5 J Z G V u d G l 0 a W V z J n F 1 b 3 Q 7 O l s m c X V v d D t T Z W N 0 a W 9 u M S 9 u b H I t M D Q t c 3 R p Y 2 t z d G 9 m Z m V p b n R y Y W c v R 2 X D p G 5 k Z X J 0 Z X I g V H l w L n s s M H 0 m c X V v d D s s J n F 1 b 3 Q 7 U 2 V j d G l v b j E v b m x y L T A 0 L X N 0 a W N r c 3 R v Z m Z l a W 5 0 c m F n L 1 F 1 Z W x s Z S 5 7 Q 2 9 s d W 1 u M i w x f S Z x d W 9 0 O y w m c X V v d D t T Z W N 0 a W 9 u M S 9 u b H I t M D Q t c 3 R p Y 2 t z d G 9 m Z m V p b n R y Y W c v U X V l b G x l L n t D b 2 x 1 b W 4 z L D J 9 J n F 1 b 3 Q 7 L C Z x d W 9 0 O 1 N l Y 3 R p b 2 4 x L 2 5 s c i 0 w N C 1 z d G l j a 3 N 0 b 2 Z m Z W l u d H J h Z y 9 R d W V s b G U u e 0 N v b H V t b j Q s M 3 0 m c X V v d D s s J n F 1 b 3 Q 7 U 2 V j d G l v b j E v b m x y L T A 0 L X N 0 a W N r c 3 R v Z m Z l a W 5 0 c m F n L 1 F 1 Z W x s Z S 5 7 Q 2 9 s d W 1 u N S w 0 f S Z x d W 9 0 O y w m c X V v d D t T Z W N 0 a W 9 u M S 9 u b H I t M D Q t c 3 R p Y 2 t z d G 9 m Z m V p b n R y Y W c v U X V l b G x l L n t D b 2 x 1 b W 4 2 L D V 9 J n F 1 b 3 Q 7 L C Z x d W 9 0 O 1 N l Y 3 R p b 2 4 x L 2 5 s c i 0 w N C 1 z d G l j a 3 N 0 b 2 Z m Z W l u d H J h Z y 9 R d W V s b G U u e 0 N v b H V t b j c s N n 0 m c X V v d D s s J n F 1 b 3 Q 7 U 2 V j d G l v b j E v b m x y L T A 0 L X N 0 a W N r c 3 R v Z m Z l a W 5 0 c m F n L 1 F 1 Z W x s Z S 5 7 Q 2 9 s d W 1 u O C w 3 f S Z x d W 9 0 O y w m c X V v d D t T Z W N 0 a W 9 u M S 9 u b H I t M D Q t c 3 R p Y 2 t z d G 9 m Z m V p b n R y Y W c v U X V l b G x l L n t D b 2 x 1 b W 4 5 L D h 9 J n F 1 b 3 Q 7 L C Z x d W 9 0 O 1 N l Y 3 R p b 2 4 x L 2 5 s c i 0 w N C 1 z d G l j a 3 N 0 b 2 Z m Z W l u d H J h Z y 9 R d W V s b G U u e 0 N v b H V t b j E w L D l 9 J n F 1 b 3 Q 7 L C Z x d W 9 0 O 1 N l Y 3 R p b 2 4 x L 2 5 s c i 0 w N C 1 z d G l j a 3 N 0 b 2 Z m Z W l u d H J h Z y 9 R d W V s b G U u e 0 N v b H V t b j E x L D E w f S Z x d W 9 0 O y w m c X V v d D t T Z W N 0 a W 9 u M S 9 u b H I t M D Q t c 3 R p Y 2 t z d G 9 m Z m V p b n R y Y W c v U X V l b G x l L n t D b 2 x 1 b W 4 x M i w x M X 0 m c X V v d D s s J n F 1 b 3 Q 7 U 2 V j d G l v b j E v b m x y L T A 0 L X N 0 a W N r c 3 R v Z m Z l a W 5 0 c m F n L 1 F 1 Z W x s Z S 5 7 Q 2 9 s d W 1 u M T M s M T J 9 J n F 1 b 3 Q 7 L C Z x d W 9 0 O 1 N l Y 3 R p b 2 4 x L 2 5 s c i 0 w N C 1 z d G l j a 3 N 0 b 2 Z m Z W l u d H J h Z y 9 R d W V s b G U u e 0 N v b H V t b j E 0 L D E z f S Z x d W 9 0 O y w m c X V v d D t T Z W N 0 a W 9 u M S 9 u b H I t M D Q t c 3 R p Y 2 t z d G 9 m Z m V p b n R y Y W c v U X V l b G x l L n t D b 2 x 1 b W 4 x N S w x N H 0 m c X V v d D s s J n F 1 b 3 Q 7 U 2 V j d G l v b j E v b m x y L T A 0 L X N 0 a W N r c 3 R v Z m Z l a W 5 0 c m F n L 1 F 1 Z W x s Z S 5 7 Q 2 9 s d W 1 u M T Y s M T V 9 J n F 1 b 3 Q 7 L C Z x d W 9 0 O 1 N l Y 3 R p b 2 4 x L 2 5 s c i 0 w N C 1 z d G l j a 3 N 0 b 2 Z m Z W l u d H J h Z y 9 R d W V s b G U u e 0 N v b H V t b j E 3 L D E 2 f S Z x d W 9 0 O y w m c X V v d D t T Z W N 0 a W 9 u M S 9 u b H I t M D Q t c 3 R p Y 2 t z d G 9 m Z m V p b n R y Y W c v U X V l b G x l L n t D b 2 x 1 b W 4 x O C w x N 3 0 m c X V v d D s s J n F 1 b 3 Q 7 U 2 V j d G l v b j E v b m x y L T A 0 L X N 0 a W N r c 3 R v Z m Z l a W 5 0 c m F n L 1 F 1 Z W x s Z S 5 7 Q 2 9 s d W 1 u M T k s M T h 9 J n F 1 b 3 Q 7 L C Z x d W 9 0 O 1 N l Y 3 R p b 2 4 x L 2 5 s c i 0 w N C 1 z d G l j a 3 N 0 b 2 Z m Z W l u d H J h Z y 9 R d W V s b G U u e 0 N v b H V t b j I w L D E 5 f S Z x d W 9 0 O y w m c X V v d D t T Z W N 0 a W 9 u M S 9 u b H I t M D Q t c 3 R p Y 2 t z d G 9 m Z m V p b n R y Y W c v U X V l b G x l L n t D b 2 x 1 b W 4 y M S w y M H 0 m c X V v d D s s J n F 1 b 3 Q 7 U 2 V j d G l v b j E v b m x y L T A 0 L X N 0 a W N r c 3 R v Z m Z l a W 5 0 c m F n L 1 F 1 Z W x s Z S 5 7 Q 2 9 s d W 1 u M j I s M j F 9 J n F 1 b 3 Q 7 L C Z x d W 9 0 O 1 N l Y 3 R p b 2 4 x L 2 5 s c i 0 w N C 1 z d G l j a 3 N 0 b 2 Z m Z W l u d H J h Z y 9 R d W V s b G U u e 0 N v b H V t b j I z L D I y f S Z x d W 9 0 O y w m c X V v d D t T Z W N 0 a W 9 u M S 9 u b H I t M D Q t c 3 R p Y 2 t z d G 9 m Z m V p b n R y Y W c v U X V l b G x l L n t D b 2 x 1 b W 4 y N C w y M 3 0 m c X V v d D s s J n F 1 b 3 Q 7 U 2 V j d G l v b j E v b m x y L T A 0 L X N 0 a W N r c 3 R v Z m Z l a W 5 0 c m F n L 1 F 1 Z W x s Z S 5 7 Q 2 9 s d W 1 u M j U s M j R 9 J n F 1 b 3 Q 7 L C Z x d W 9 0 O 1 N l Y 3 R p b 2 4 x L 2 5 s c i 0 w N C 1 z d G l j a 3 N 0 b 2 Z m Z W l u d H J h Z y 9 R d W V s b G U u e 0 N v b H V t b j I 2 L D I 1 f S Z x d W 9 0 O y w m c X V v d D t T Z W N 0 a W 9 u M S 9 u b H I t M D Q t c 3 R p Y 2 t z d G 9 m Z m V p b n R y Y W c v U X V l b G x l L n t D b 2 x 1 b W 4 y N y w y N n 0 m c X V v d D s s J n F 1 b 3 Q 7 U 2 V j d G l v b j E v b m x y L T A 0 L X N 0 a W N r c 3 R v Z m Z l a W 5 0 c m F n L 1 F 1 Z W x s Z S 5 7 Q 2 9 s d W 1 u M j g s M j d 9 J n F 1 b 3 Q 7 L C Z x d W 9 0 O 1 N l Y 3 R p b 2 4 x L 2 5 s c i 0 w N C 1 z d G l j a 3 N 0 b 2 Z m Z W l u d H J h Z y 9 R d W V s b G U u e 0 N v b H V t b j I 5 L D I 4 f S Z x d W 9 0 O y w m c X V v d D t T Z W N 0 a W 9 u M S 9 u b H I t M D Q t c 3 R p Y 2 t z d G 9 m Z m V p b n R y Y W c v U X V l b G x l L n t D b 2 x 1 b W 4 z M C w y O X 0 m c X V v d D s s J n F 1 b 3 Q 7 U 2 V j d G l v b j E v b m x y L T A 0 L X N 0 a W N r c 3 R v Z m Z l a W 5 0 c m F n L 1 F 1 Z W x s Z S 5 7 Q 2 9 s d W 1 u M z E s M z B 9 J n F 1 b 3 Q 7 L C Z x d W 9 0 O 1 N l Y 3 R p b 2 4 x L 2 5 s c i 0 w N C 1 z d G l j a 3 N 0 b 2 Z m Z W l u d H J h Z y 9 R d W V s b G U u e 0 N v b H V t b j M y L D M x f S Z x d W 9 0 O y w m c X V v d D t T Z W N 0 a W 9 u M S 9 u b H I t M D Q t c 3 R p Y 2 t z d G 9 m Z m V p b n R y Y W c v U X V l b G x l L n t D b 2 x 1 b W 4 z M y w z M n 0 m c X V v d D s s J n F 1 b 3 Q 7 U 2 V j d G l v b j E v b m x y L T A 0 L X N 0 a W N r c 3 R v Z m Z l a W 5 0 c m F n L 1 F 1 Z W x s Z S 5 7 Q 2 9 s d W 1 u M z Q s M z N 9 J n F 1 b 3 Q 7 L C Z x d W 9 0 O 1 N l Y 3 R p b 2 4 x L 2 5 s c i 0 w N C 1 z d G l j a 3 N 0 b 2 Z m Z W l u d H J h Z y 9 R d W V s b G U u e 0 N v b H V t b j M 1 L D M 0 f S Z x d W 9 0 O y w m c X V v d D t T Z W N 0 a W 9 u M S 9 u b H I t M D Q t c 3 R p Y 2 t z d G 9 m Z m V p b n R y Y W c v U X V l b G x l L n t D b 2 x 1 b W 4 z N i w z N X 0 m c X V v d D s s J n F 1 b 3 Q 7 U 2 V j d G l v b j E v b m x y L T A 0 L X N 0 a W N r c 3 R v Z m Z l a W 5 0 c m F n L 1 F 1 Z W x s Z S 5 7 Q 2 9 s d W 1 u M z c s M z Z 9 J n F 1 b 3 Q 7 L C Z x d W 9 0 O 1 N l Y 3 R p b 2 4 x L 2 5 s c i 0 w N C 1 z d G l j a 3 N 0 b 2 Z m Z W l u d H J h Z y 9 R d W V s b G U u e 0 N v b H V t b j M 4 L D M 3 f S Z x d W 9 0 O y w m c X V v d D t T Z W N 0 a W 9 u M S 9 u b H I t M D Q t c 3 R p Y 2 t z d G 9 m Z m V p b n R y Y W c v U X V l b G x l L n t D b 2 x 1 b W 4 z O S w z O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m x y L T A 0 L X N 0 a W N r c 3 R v Z m Z l a W 5 0 c m F n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5 s c i 0 w N C 1 z d G l j a 3 N 0 b 2 Z m Z W l u d H J h Z y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H I t M D Q t c 3 R p Y 2 t z d G 9 m Z m V p b n R y Y W c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m x y L T A 1 L X N h Z X V y Z W V p b n R y Z W c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b m x y X z A 1 X 3 N h Z X V y Z W V p b n R y Z W c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w 6 R 1 c m V l a W 5 0 c m F n I i A v P j x F b n R y e S B U e X B l P S J S Z W N v d m V y e V R h c m d l d E N v b H V t b i I g V m F s d W U 9 I m w x I i A v P j x F b n R y e S B U e X B l P S J S Z W N v d m V y e V R h c m d l d F J v d y I g V m F s d W U 9 I m w y M C I g L z 4 8 R W 5 0 c n k g V H l w Z T 0 i R m l s b E V y c m 9 y Q 2 9 1 b n Q i I F Z h b H V l P S J s M C I g L z 4 8 R W 5 0 c n k g V H l w Z T 0 i R m l s b E x h c 3 R V c G R h d G V k I i B W Y W x 1 Z T 0 i Z D I w M j M t M T E t M j h U M D k 6 M T c 6 N T A u M D c 5 M T c w M 1 o i I C 8 + P E V u d H J 5 I F R 5 c G U 9 I k Z p b G x D b 2 x 1 b W 5 U e X B l c y I g V m F s d W U 9 I n N C Z 1 l H Q m d Z R 0 J n W U d C Z 1 l H Q m d Z R 0 J n W U d C Z 1 l H Q m d Z R 0 J n W U d C Z 1 l H Q m d Z R 0 J n W U d C Z 1 l H I i A v P j x F b n R y e S B U e X B l P S J G a W x s Q 2 9 s d W 1 u T m F t Z X M i I F Z h b H V l P S J z W y Z x d W 9 0 O 0 N v b H V t b j E m c X V v d D s s J n F 1 b 3 Q 7 M T k 4 M y Z x d W 9 0 O y w m c X V v d D s x O T g 0 J n F 1 b 3 Q 7 L C Z x d W 9 0 O z E 5 O D U m c X V v d D s s J n F 1 b 3 Q 7 M T k 4 N i Z x d W 9 0 O y w m c X V v d D s x O T g 3 J n F 1 b 3 Q 7 L C Z x d W 9 0 O z E 5 O D g m c X V v d D s s J n F 1 b 3 Q 7 M T k 4 O S Z x d W 9 0 O y w m c X V v d D s x O T k w J n F 1 b 3 Q 7 L C Z x d W 9 0 O z E 5 O T E m c X V v d D s s J n F 1 b 3 Q 7 M T k 5 M i Z x d W 9 0 O y w m c X V v d D s x O T k z J n F 1 b 3 Q 7 L C Z x d W 9 0 O z E 5 O T Q m c X V v d D s s J n F 1 b 3 Q 7 M T k 5 N S Z x d W 9 0 O y w m c X V v d D s x O T k 2 J n F 1 b 3 Q 7 L C Z x d W 9 0 O z E 5 O T c m c X V v d D s s J n F 1 b 3 Q 7 M T k 5 O C Z x d W 9 0 O y w m c X V v d D s x O T k 5 J n F 1 b 3 Q 7 L C Z x d W 9 0 O z I w M D A m c X V v d D s s J n F 1 b 3 Q 7 M j A w M S Z x d W 9 0 O y w m c X V v d D s y M D A y J n F 1 b 3 Q 7 L C Z x d W 9 0 O z I w M D M m c X V v d D s s J n F 1 b 3 Q 7 M j A w N C Z x d W 9 0 O y w m c X V v d D s y M D A 1 J n F 1 b 3 Q 7 L C Z x d W 9 0 O z I w M D Y m c X V v d D s s J n F 1 b 3 Q 7 M j A w N y Z x d W 9 0 O y w m c X V v d D s y M D A 4 J n F 1 b 3 Q 7 L C Z x d W 9 0 O z I w M D k m c X V v d D s s J n F 1 b 3 Q 7 M j A x M C Z x d W 9 0 O y w m c X V v d D s y M D E x J n F 1 b 3 Q 7 L C Z x d W 9 0 O z I w M T I m c X V v d D s s J n F 1 b 3 Q 7 M j A x M y Z x d W 9 0 O y w m c X V v d D s y M D E 0 J n F 1 b 3 Q 7 L C Z x d W 9 0 O z I w M T U m c X V v d D s s J n F 1 b 3 Q 7 M j A x N i Z x d W 9 0 O y w m c X V v d D s y M D E 3 J n F 1 b 3 Q 7 L C Z x d W 9 0 O z I w M T g m c X V v d D s s J n F 1 b 3 Q 7 M j A x O S Z x d W 9 0 O y w m c X V v d D s y M D I w J n F 1 b 3 Q 7 X S I g L z 4 8 R W 5 0 c n k g V H l w Z T 0 i R m l s b F N 0 Y X R 1 c y I g V m F s d W U 9 I n N D b 2 1 w b G V 0 Z S I g L z 4 8 R W 5 0 c n k g V H l w Z T 0 i U X V l c n l J R C I g V m F s d W U 9 I n M z N D A y N T c x Y S 0 2 O T d h L T R h Y m U t O G R k Y i 0 4 Z W N m Y 2 Y 5 Y z l i O T Y i I C 8 + P E V u d H J 5 I F R 5 c G U 9 I k Z p b G x F c n J v c k N v Z G U i I F Z h b H V l P S J z V W 5 r b m 9 3 b i I g L z 4 8 R W 5 0 c n k g V H l w Z T 0 i R m l s b E N v d W 5 0 I i B W Y W x 1 Z T 0 i b D E i I C 8 + P E V u d H J 5 I F R 5 c G U 9 I l J l b G F 0 a W 9 u c 2 h p c E l u Z m 9 D b 2 5 0 Y W l u Z X I i I F Z h b H V l P S J z e y Z x d W 9 0 O 2 N v b H V t b k N v d W 5 0 J n F 1 b 3 Q 7 O j M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b H I t M D U t c 2 F l d X J l Z W l u d H J l Z y 9 H Z c O k b m R l c n R l c i B U e X A u e y w w f S Z x d W 9 0 O y w m c X V v d D t T Z W N 0 a W 9 u M S 9 u b H I t M D U t c 2 F l d X J l Z W l u d H J l Z y 9 R d W V s b G U u e 0 N v b H V t b j I s M X 0 m c X V v d D s s J n F 1 b 3 Q 7 U 2 V j d G l v b j E v b m x y L T A 1 L X N h Z X V y Z W V p b n R y Z W c v U X V l b G x l L n t D b 2 x 1 b W 4 z L D J 9 J n F 1 b 3 Q 7 L C Z x d W 9 0 O 1 N l Y 3 R p b 2 4 x L 2 5 s c i 0 w N S 1 z Y W V 1 c m V l a W 5 0 c m V n L 1 F 1 Z W x s Z S 5 7 Q 2 9 s d W 1 u N C w z f S Z x d W 9 0 O y w m c X V v d D t T Z W N 0 a W 9 u M S 9 u b H I t M D U t c 2 F l d X J l Z W l u d H J l Z y 9 R d W V s b G U u e 0 N v b H V t b j U s N H 0 m c X V v d D s s J n F 1 b 3 Q 7 U 2 V j d G l v b j E v b m x y L T A 1 L X N h Z X V y Z W V p b n R y Z W c v U X V l b G x l L n t D b 2 x 1 b W 4 2 L D V 9 J n F 1 b 3 Q 7 L C Z x d W 9 0 O 1 N l Y 3 R p b 2 4 x L 2 5 s c i 0 w N S 1 z Y W V 1 c m V l a W 5 0 c m V n L 1 F 1 Z W x s Z S 5 7 Q 2 9 s d W 1 u N y w 2 f S Z x d W 9 0 O y w m c X V v d D t T Z W N 0 a W 9 u M S 9 u b H I t M D U t c 2 F l d X J l Z W l u d H J l Z y 9 R d W V s b G U u e 0 N v b H V t b j g s N 3 0 m c X V v d D s s J n F 1 b 3 Q 7 U 2 V j d G l v b j E v b m x y L T A 1 L X N h Z X V y Z W V p b n R y Z W c v U X V l b G x l L n t D b 2 x 1 b W 4 5 L D h 9 J n F 1 b 3 Q 7 L C Z x d W 9 0 O 1 N l Y 3 R p b 2 4 x L 2 5 s c i 0 w N S 1 z Y W V 1 c m V l a W 5 0 c m V n L 1 F 1 Z W x s Z S 5 7 Q 2 9 s d W 1 u M T A s O X 0 m c X V v d D s s J n F 1 b 3 Q 7 U 2 V j d G l v b j E v b m x y L T A 1 L X N h Z X V y Z W V p b n R y Z W c v U X V l b G x l L n t D b 2 x 1 b W 4 x M S w x M H 0 m c X V v d D s s J n F 1 b 3 Q 7 U 2 V j d G l v b j E v b m x y L T A 1 L X N h Z X V y Z W V p b n R y Z W c v U X V l b G x l L n t D b 2 x 1 b W 4 x M i w x M X 0 m c X V v d D s s J n F 1 b 3 Q 7 U 2 V j d G l v b j E v b m x y L T A 1 L X N h Z X V y Z W V p b n R y Z W c v U X V l b G x l L n t D b 2 x 1 b W 4 x M y w x M n 0 m c X V v d D s s J n F 1 b 3 Q 7 U 2 V j d G l v b j E v b m x y L T A 1 L X N h Z X V y Z W V p b n R y Z W c v U X V l b G x l L n t D b 2 x 1 b W 4 x N C w x M 3 0 m c X V v d D s s J n F 1 b 3 Q 7 U 2 V j d G l v b j E v b m x y L T A 1 L X N h Z X V y Z W V p b n R y Z W c v U X V l b G x l L n t D b 2 x 1 b W 4 x N S w x N H 0 m c X V v d D s s J n F 1 b 3 Q 7 U 2 V j d G l v b j E v b m x y L T A 1 L X N h Z X V y Z W V p b n R y Z W c v U X V l b G x l L n t D b 2 x 1 b W 4 x N i w x N X 0 m c X V v d D s s J n F 1 b 3 Q 7 U 2 V j d G l v b j E v b m x y L T A 1 L X N h Z X V y Z W V p b n R y Z W c v U X V l b G x l L n t D b 2 x 1 b W 4 x N y w x N n 0 m c X V v d D s s J n F 1 b 3 Q 7 U 2 V j d G l v b j E v b m x y L T A 1 L X N h Z X V y Z W V p b n R y Z W c v U X V l b G x l L n t D b 2 x 1 b W 4 x O C w x N 3 0 m c X V v d D s s J n F 1 b 3 Q 7 U 2 V j d G l v b j E v b m x y L T A 1 L X N h Z X V y Z W V p b n R y Z W c v U X V l b G x l L n t D b 2 x 1 b W 4 x O S w x O H 0 m c X V v d D s s J n F 1 b 3 Q 7 U 2 V j d G l v b j E v b m x y L T A 1 L X N h Z X V y Z W V p b n R y Z W c v U X V l b G x l L n t D b 2 x 1 b W 4 y M C w x O X 0 m c X V v d D s s J n F 1 b 3 Q 7 U 2 V j d G l v b j E v b m x y L T A 1 L X N h Z X V y Z W V p b n R y Z W c v U X V l b G x l L n t D b 2 x 1 b W 4 y M S w y M H 0 m c X V v d D s s J n F 1 b 3 Q 7 U 2 V j d G l v b j E v b m x y L T A 1 L X N h Z X V y Z W V p b n R y Z W c v U X V l b G x l L n t D b 2 x 1 b W 4 y M i w y M X 0 m c X V v d D s s J n F 1 b 3 Q 7 U 2 V j d G l v b j E v b m x y L T A 1 L X N h Z X V y Z W V p b n R y Z W c v U X V l b G x l L n t D b 2 x 1 b W 4 y M y w y M n 0 m c X V v d D s s J n F 1 b 3 Q 7 U 2 V j d G l v b j E v b m x y L T A 1 L X N h Z X V y Z W V p b n R y Z W c v U X V l b G x l L n t D b 2 x 1 b W 4 y N C w y M 3 0 m c X V v d D s s J n F 1 b 3 Q 7 U 2 V j d G l v b j E v b m x y L T A 1 L X N h Z X V y Z W V p b n R y Z W c v U X V l b G x l L n t D b 2 x 1 b W 4 y N S w y N H 0 m c X V v d D s s J n F 1 b 3 Q 7 U 2 V j d G l v b j E v b m x y L T A 1 L X N h Z X V y Z W V p b n R y Z W c v U X V l b G x l L n t D b 2 x 1 b W 4 y N i w y N X 0 m c X V v d D s s J n F 1 b 3 Q 7 U 2 V j d G l v b j E v b m x y L T A 1 L X N h Z X V y Z W V p b n R y Z W c v U X V l b G x l L n t D b 2 x 1 b W 4 y N y w y N n 0 m c X V v d D s s J n F 1 b 3 Q 7 U 2 V j d G l v b j E v b m x y L T A 1 L X N h Z X V y Z W V p b n R y Z W c v U X V l b G x l L n t D b 2 x 1 b W 4 y O C w y N 3 0 m c X V v d D s s J n F 1 b 3 Q 7 U 2 V j d G l v b j E v b m x y L T A 1 L X N h Z X V y Z W V p b n R y Z W c v U X V l b G x l L n t D b 2 x 1 b W 4 y O S w y O H 0 m c X V v d D s s J n F 1 b 3 Q 7 U 2 V j d G l v b j E v b m x y L T A 1 L X N h Z X V y Z W V p b n R y Z W c v U X V l b G x l L n t D b 2 x 1 b W 4 z M C w y O X 0 m c X V v d D s s J n F 1 b 3 Q 7 U 2 V j d G l v b j E v b m x y L T A 1 L X N h Z X V y Z W V p b n R y Z W c v U X V l b G x l L n t D b 2 x 1 b W 4 z M S w z M H 0 m c X V v d D s s J n F 1 b 3 Q 7 U 2 V j d G l v b j E v b m x y L T A 1 L X N h Z X V y Z W V p b n R y Z W c v U X V l b G x l L n t D b 2 x 1 b W 4 z M i w z M X 0 m c X V v d D s s J n F 1 b 3 Q 7 U 2 V j d G l v b j E v b m x y L T A 1 L X N h Z X V y Z W V p b n R y Z W c v U X V l b G x l L n t D b 2 x 1 b W 4 z M y w z M n 0 m c X V v d D s s J n F 1 b 3 Q 7 U 2 V j d G l v b j E v b m x y L T A 1 L X N h Z X V y Z W V p b n R y Z W c v U X V l b G x l L n t D b 2 x 1 b W 4 z N C w z M 3 0 m c X V v d D s s J n F 1 b 3 Q 7 U 2 V j d G l v b j E v b m x y L T A 1 L X N h Z X V y Z W V p b n R y Z W c v U X V l b G x l L n t D b 2 x 1 b W 4 z N S w z N H 0 m c X V v d D s s J n F 1 b 3 Q 7 U 2 V j d G l v b j E v b m x y L T A 1 L X N h Z X V y Z W V p b n R y Z W c v U X V l b G x l L n t D b 2 x 1 b W 4 z N i w z N X 0 m c X V v d D s s J n F 1 b 3 Q 7 U 2 V j d G l v b j E v b m x y L T A 1 L X N h Z X V y Z W V p b n R y Z W c v U X V l b G x l L n t D b 2 x 1 b W 4 z N y w z N n 0 m c X V v d D s s J n F 1 b 3 Q 7 U 2 V j d G l v b j E v b m x y L T A 1 L X N h Z X V y Z W V p b n R y Z W c v U X V l b G x l L n t D b 2 x 1 b W 4 z O C w z N 3 0 m c X V v d D s s J n F 1 b 3 Q 7 U 2 V j d G l v b j E v b m x y L T A 1 L X N h Z X V y Z W V p b n R y Z W c v U X V l b G x l L n t D b 2 x 1 b W 4 z O S w z O H 0 m c X V v d D t d L C Z x d W 9 0 O 0 N v b H V t b k N v d W 5 0 J n F 1 b 3 Q 7 O j M 5 L C Z x d W 9 0 O 0 t l e U N v b H V t b k 5 h b W V z J n F 1 b 3 Q 7 O l t d L C Z x d W 9 0 O 0 N v b H V t b k l k Z W 5 0 a X R p Z X M m c X V v d D s 6 W y Z x d W 9 0 O 1 N l Y 3 R p b 2 4 x L 2 5 s c i 0 w N S 1 z Y W V 1 c m V l a W 5 0 c m V n L 0 d l w 6 R u Z G V y d G V y I F R 5 c C 5 7 L D B 9 J n F 1 b 3 Q 7 L C Z x d W 9 0 O 1 N l Y 3 R p b 2 4 x L 2 5 s c i 0 w N S 1 z Y W V 1 c m V l a W 5 0 c m V n L 1 F 1 Z W x s Z S 5 7 Q 2 9 s d W 1 u M i w x f S Z x d W 9 0 O y w m c X V v d D t T Z W N 0 a W 9 u M S 9 u b H I t M D U t c 2 F l d X J l Z W l u d H J l Z y 9 R d W V s b G U u e 0 N v b H V t b j M s M n 0 m c X V v d D s s J n F 1 b 3 Q 7 U 2 V j d G l v b j E v b m x y L T A 1 L X N h Z X V y Z W V p b n R y Z W c v U X V l b G x l L n t D b 2 x 1 b W 4 0 L D N 9 J n F 1 b 3 Q 7 L C Z x d W 9 0 O 1 N l Y 3 R p b 2 4 x L 2 5 s c i 0 w N S 1 z Y W V 1 c m V l a W 5 0 c m V n L 1 F 1 Z W x s Z S 5 7 Q 2 9 s d W 1 u N S w 0 f S Z x d W 9 0 O y w m c X V v d D t T Z W N 0 a W 9 u M S 9 u b H I t M D U t c 2 F l d X J l Z W l u d H J l Z y 9 R d W V s b G U u e 0 N v b H V t b j Y s N X 0 m c X V v d D s s J n F 1 b 3 Q 7 U 2 V j d G l v b j E v b m x y L T A 1 L X N h Z X V y Z W V p b n R y Z W c v U X V l b G x l L n t D b 2 x 1 b W 4 3 L D Z 9 J n F 1 b 3 Q 7 L C Z x d W 9 0 O 1 N l Y 3 R p b 2 4 x L 2 5 s c i 0 w N S 1 z Y W V 1 c m V l a W 5 0 c m V n L 1 F 1 Z W x s Z S 5 7 Q 2 9 s d W 1 u O C w 3 f S Z x d W 9 0 O y w m c X V v d D t T Z W N 0 a W 9 u M S 9 u b H I t M D U t c 2 F l d X J l Z W l u d H J l Z y 9 R d W V s b G U u e 0 N v b H V t b j k s O H 0 m c X V v d D s s J n F 1 b 3 Q 7 U 2 V j d G l v b j E v b m x y L T A 1 L X N h Z X V y Z W V p b n R y Z W c v U X V l b G x l L n t D b 2 x 1 b W 4 x M C w 5 f S Z x d W 9 0 O y w m c X V v d D t T Z W N 0 a W 9 u M S 9 u b H I t M D U t c 2 F l d X J l Z W l u d H J l Z y 9 R d W V s b G U u e 0 N v b H V t b j E x L D E w f S Z x d W 9 0 O y w m c X V v d D t T Z W N 0 a W 9 u M S 9 u b H I t M D U t c 2 F l d X J l Z W l u d H J l Z y 9 R d W V s b G U u e 0 N v b H V t b j E y L D E x f S Z x d W 9 0 O y w m c X V v d D t T Z W N 0 a W 9 u M S 9 u b H I t M D U t c 2 F l d X J l Z W l u d H J l Z y 9 R d W V s b G U u e 0 N v b H V t b j E z L D E y f S Z x d W 9 0 O y w m c X V v d D t T Z W N 0 a W 9 u M S 9 u b H I t M D U t c 2 F l d X J l Z W l u d H J l Z y 9 R d W V s b G U u e 0 N v b H V t b j E 0 L D E z f S Z x d W 9 0 O y w m c X V v d D t T Z W N 0 a W 9 u M S 9 u b H I t M D U t c 2 F l d X J l Z W l u d H J l Z y 9 R d W V s b G U u e 0 N v b H V t b j E 1 L D E 0 f S Z x d W 9 0 O y w m c X V v d D t T Z W N 0 a W 9 u M S 9 u b H I t M D U t c 2 F l d X J l Z W l u d H J l Z y 9 R d W V s b G U u e 0 N v b H V t b j E 2 L D E 1 f S Z x d W 9 0 O y w m c X V v d D t T Z W N 0 a W 9 u M S 9 u b H I t M D U t c 2 F l d X J l Z W l u d H J l Z y 9 R d W V s b G U u e 0 N v b H V t b j E 3 L D E 2 f S Z x d W 9 0 O y w m c X V v d D t T Z W N 0 a W 9 u M S 9 u b H I t M D U t c 2 F l d X J l Z W l u d H J l Z y 9 R d W V s b G U u e 0 N v b H V t b j E 4 L D E 3 f S Z x d W 9 0 O y w m c X V v d D t T Z W N 0 a W 9 u M S 9 u b H I t M D U t c 2 F l d X J l Z W l u d H J l Z y 9 R d W V s b G U u e 0 N v b H V t b j E 5 L D E 4 f S Z x d W 9 0 O y w m c X V v d D t T Z W N 0 a W 9 u M S 9 u b H I t M D U t c 2 F l d X J l Z W l u d H J l Z y 9 R d W V s b G U u e 0 N v b H V t b j I w L D E 5 f S Z x d W 9 0 O y w m c X V v d D t T Z W N 0 a W 9 u M S 9 u b H I t M D U t c 2 F l d X J l Z W l u d H J l Z y 9 R d W V s b G U u e 0 N v b H V t b j I x L D I w f S Z x d W 9 0 O y w m c X V v d D t T Z W N 0 a W 9 u M S 9 u b H I t M D U t c 2 F l d X J l Z W l u d H J l Z y 9 R d W V s b G U u e 0 N v b H V t b j I y L D I x f S Z x d W 9 0 O y w m c X V v d D t T Z W N 0 a W 9 u M S 9 u b H I t M D U t c 2 F l d X J l Z W l u d H J l Z y 9 R d W V s b G U u e 0 N v b H V t b j I z L D I y f S Z x d W 9 0 O y w m c X V v d D t T Z W N 0 a W 9 u M S 9 u b H I t M D U t c 2 F l d X J l Z W l u d H J l Z y 9 R d W V s b G U u e 0 N v b H V t b j I 0 L D I z f S Z x d W 9 0 O y w m c X V v d D t T Z W N 0 a W 9 u M S 9 u b H I t M D U t c 2 F l d X J l Z W l u d H J l Z y 9 R d W V s b G U u e 0 N v b H V t b j I 1 L D I 0 f S Z x d W 9 0 O y w m c X V v d D t T Z W N 0 a W 9 u M S 9 u b H I t M D U t c 2 F l d X J l Z W l u d H J l Z y 9 R d W V s b G U u e 0 N v b H V t b j I 2 L D I 1 f S Z x d W 9 0 O y w m c X V v d D t T Z W N 0 a W 9 u M S 9 u b H I t M D U t c 2 F l d X J l Z W l u d H J l Z y 9 R d W V s b G U u e 0 N v b H V t b j I 3 L D I 2 f S Z x d W 9 0 O y w m c X V v d D t T Z W N 0 a W 9 u M S 9 u b H I t M D U t c 2 F l d X J l Z W l u d H J l Z y 9 R d W V s b G U u e 0 N v b H V t b j I 4 L D I 3 f S Z x d W 9 0 O y w m c X V v d D t T Z W N 0 a W 9 u M S 9 u b H I t M D U t c 2 F l d X J l Z W l u d H J l Z y 9 R d W V s b G U u e 0 N v b H V t b j I 5 L D I 4 f S Z x d W 9 0 O y w m c X V v d D t T Z W N 0 a W 9 u M S 9 u b H I t M D U t c 2 F l d X J l Z W l u d H J l Z y 9 R d W V s b G U u e 0 N v b H V t b j M w L D I 5 f S Z x d W 9 0 O y w m c X V v d D t T Z W N 0 a W 9 u M S 9 u b H I t M D U t c 2 F l d X J l Z W l u d H J l Z y 9 R d W V s b G U u e 0 N v b H V t b j M x L D M w f S Z x d W 9 0 O y w m c X V v d D t T Z W N 0 a W 9 u M S 9 u b H I t M D U t c 2 F l d X J l Z W l u d H J l Z y 9 R d W V s b G U u e 0 N v b H V t b j M y L D M x f S Z x d W 9 0 O y w m c X V v d D t T Z W N 0 a W 9 u M S 9 u b H I t M D U t c 2 F l d X J l Z W l u d H J l Z y 9 R d W V s b G U u e 0 N v b H V t b j M z L D M y f S Z x d W 9 0 O y w m c X V v d D t T Z W N 0 a W 9 u M S 9 u b H I t M D U t c 2 F l d X J l Z W l u d H J l Z y 9 R d W V s b G U u e 0 N v b H V t b j M 0 L D M z f S Z x d W 9 0 O y w m c X V v d D t T Z W N 0 a W 9 u M S 9 u b H I t M D U t c 2 F l d X J l Z W l u d H J l Z y 9 R d W V s b G U u e 0 N v b H V t b j M 1 L D M 0 f S Z x d W 9 0 O y w m c X V v d D t T Z W N 0 a W 9 u M S 9 u b H I t M D U t c 2 F l d X J l Z W l u d H J l Z y 9 R d W V s b G U u e 0 N v b H V t b j M 2 L D M 1 f S Z x d W 9 0 O y w m c X V v d D t T Z W N 0 a W 9 u M S 9 u b H I t M D U t c 2 F l d X J l Z W l u d H J l Z y 9 R d W V s b G U u e 0 N v b H V t b j M 3 L D M 2 f S Z x d W 9 0 O y w m c X V v d D t T Z W N 0 a W 9 u M S 9 u b H I t M D U t c 2 F l d X J l Z W l u d H J l Z y 9 R d W V s b G U u e 0 N v b H V t b j M 4 L D M 3 f S Z x d W 9 0 O y w m c X V v d D t T Z W N 0 a W 9 u M S 9 u b H I t M D U t c 2 F l d X J l Z W l u d H J l Z y 9 R d W V s b G U u e 0 N v b H V t b j M 5 L D M 4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b H I t M D U t c 2 F l d X J l Z W l u d H J l Z y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H I t M D U t c 2 F l d X J l Z W l u d H J l Z y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H I t M D U t c 2 F l d X J l Z W l u d H J l Z y 9 I J U M z J U I 2 a G V y J T I w Z 2 V z d H V m d G U l M j B I Z W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H I t M D g t b i 1 m b G F l Y 2 h l b m J p b G F u e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u b H J f M D h f b l 9 m b G F l Y 2 h l b m J p b G F u e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4 t R m z D p G N o Z W 5 i a W x h b n o i I C 8 + P E V u d H J 5 I F R 5 c G U 9 I l J l Y 2 9 2 Z X J 5 V G F y Z 2 V 0 Q 2 9 s d W 1 u I i B W Y W x 1 Z T 0 i b D E i I C 8 + P E V u d H J 5 I F R 5 c G U 9 I l J l Y 2 9 2 Z X J 5 V G F y Z 2 V 0 U m 9 3 I i B W Y W x 1 Z T 0 i b D I w I i A v P j x F b n R y e S B U e X B l P S J G a W x s R X J y b 3 J D b 3 V u d C I g V m F s d W U 9 I m w w I i A v P j x F b n R y e S B U e X B l P S J G a W x s T G F z d F V w Z G F 0 Z W Q i I F Z h b H V l P S J k M j A y M y 0 x M S 0 y O F Q w O T o x N z o 0 O S 4 5 N T k 3 M D E x W i I g L z 4 8 R W 5 0 c n k g V H l w Z T 0 i R m l s b E N v b H V t b l R 5 c G V z I i B W Y W x 1 Z T 0 i c 0 J n W U d C Z 1 l H Q m d Z R 0 J n W U d C Z 1 l H Q m d Z R 0 J n W U d C Z 1 l H Q m d Z R 0 J n P T 0 i I C 8 + P E V u d H J 5 I F R 5 c G U 9 I k Z p b G x D b 2 x 1 b W 5 O Y W 1 l c y I g V m F s d W U 9 I n N b J n F 1 b 3 Q 7 Q 2 9 s d W 1 u M S Z x d W 9 0 O y w m c X V v d D s x O T k 1 J n F 1 b 3 Q 7 L C Z x d W 9 0 O z E 5 O T Y m c X V v d D s s J n F 1 b 3 Q 7 M T k 5 N y Z x d W 9 0 O y w m c X V v d D s x O T k 4 J n F 1 b 3 Q 7 L C Z x d W 9 0 O z E 5 O T k m c X V v d D s s J n F 1 b 3 Q 7 M j A w M C Z x d W 9 0 O y w m c X V v d D s y M D A x J n F 1 b 3 Q 7 L C Z x d W 9 0 O z I w M D I m c X V v d D s s J n F 1 b 3 Q 7 M j A w M y Z x d W 9 0 O y w m c X V v d D s y M D A 0 J n F 1 b 3 Q 7 L C Z x d W 9 0 O z I w M D U m c X V v d D s s J n F 1 b 3 Q 7 M j A w N i Z x d W 9 0 O y w m c X V v d D s y M D A 3 J n F 1 b 3 Q 7 L C Z x d W 9 0 O z I w M D g m c X V v d D s s J n F 1 b 3 Q 7 M j A w O S Z x d W 9 0 O y w m c X V v d D s y M D E w J n F 1 b 3 Q 7 L C Z x d W 9 0 O z I w M T E m c X V v d D s s J n F 1 b 3 Q 7 M j A x M i Z x d W 9 0 O y w m c X V v d D s y M D E z J n F 1 b 3 Q 7 L C Z x d W 9 0 O z I w M T Q m c X V v d D s s J n F 1 b 3 Q 7 M j A x N S Z x d W 9 0 O y w m c X V v d D s y M D E 2 J n F 1 b 3 Q 7 L C Z x d W 9 0 O z I w M T c m c X V v d D s s J n F 1 b 3 Q 7 M j A x O C Z x d W 9 0 O y w m c X V v d D s y M D E 5 J n F 1 b 3 Q 7 L C Z x d W 9 0 O z I w M j A m c X V v d D s s J n F 1 b 3 Q 7 M j A y M S Z x d W 9 0 O 1 0 i I C 8 + P E V u d H J 5 I F R 5 c G U 9 I k Z p b G x T d G F 0 d X M i I F Z h b H V l P S J z Q 2 9 t c G x l d G U i I C 8 + P E V u d H J 5 I F R 5 c G U 9 I l F 1 Z X J 5 S U Q i I F Z h b H V l P S J z M W V i M W I 5 N W U t N W Q 2 Z i 0 0 M T U 0 L T g 0 Y m Q t Z G Q z N m N j N m Q 1 Y z Y y I i A v P j x F b n R y e S B U e X B l P S J G a W x s R X J y b 3 J D b 2 R l I i B W Y W x 1 Z T 0 i c 1 V u a 2 5 v d 2 4 i I C 8 + P E V u d H J 5 I F R 5 c G U 9 I k Z p b G x D b 3 V u d C I g V m F s d W U 9 I m w y I i A v P j x F b n R y e S B U e X B l P S J S Z W x h d G l v b n N o a X B J b m Z v Q 2 9 u d G F p b m V y I i B W Y W x 1 Z T 0 i c 3 s m c X V v d D t j b 2 x 1 b W 5 D b 3 V u d C Z x d W 9 0 O z o y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m x y L T A 4 L W 4 t Z m x h Z W N o Z W 5 i a W x h b n o v R 2 X D p G 5 k Z X J 0 Z X I g V H l w L n s s M H 0 m c X V v d D s s J n F 1 b 3 Q 7 U 2 V j d G l v b j E v b m x y L T A 4 L W 4 t Z m x h Z W N o Z W 5 i a W x h b n o v U X V l b G x l L n t D b 2 x 1 b W 4 y L D F 9 J n F 1 b 3 Q 7 L C Z x d W 9 0 O 1 N l Y 3 R p b 2 4 x L 2 5 s c i 0 w O C 1 u L W Z s Y W V j a G V u Y m l s Y W 5 6 L 1 F 1 Z W x s Z S 5 7 Q 2 9 s d W 1 u M y w y f S Z x d W 9 0 O y w m c X V v d D t T Z W N 0 a W 9 u M S 9 u b H I t M D g t b i 1 m b G F l Y 2 h l b m J p b G F u e i 9 R d W V s b G U u e 0 N v b H V t b j Q s M 3 0 m c X V v d D s s J n F 1 b 3 Q 7 U 2 V j d G l v b j E v b m x y L T A 4 L W 4 t Z m x h Z W N o Z W 5 i a W x h b n o v U X V l b G x l L n t D b 2 x 1 b W 4 1 L D R 9 J n F 1 b 3 Q 7 L C Z x d W 9 0 O 1 N l Y 3 R p b 2 4 x L 2 5 s c i 0 w O C 1 u L W Z s Y W V j a G V u Y m l s Y W 5 6 L 1 F 1 Z W x s Z S 5 7 Q 2 9 s d W 1 u N i w 1 f S Z x d W 9 0 O y w m c X V v d D t T Z W N 0 a W 9 u M S 9 u b H I t M D g t b i 1 m b G F l Y 2 h l b m J p b G F u e i 9 R d W V s b G U u e 0 N v b H V t b j c s N n 0 m c X V v d D s s J n F 1 b 3 Q 7 U 2 V j d G l v b j E v b m x y L T A 4 L W 4 t Z m x h Z W N o Z W 5 i a W x h b n o v U X V l b G x l L n t D b 2 x 1 b W 4 4 L D d 9 J n F 1 b 3 Q 7 L C Z x d W 9 0 O 1 N l Y 3 R p b 2 4 x L 2 5 s c i 0 w O C 1 u L W Z s Y W V j a G V u Y m l s Y W 5 6 L 1 F 1 Z W x s Z S 5 7 Q 2 9 s d W 1 u O S w 4 f S Z x d W 9 0 O y w m c X V v d D t T Z W N 0 a W 9 u M S 9 u b H I t M D g t b i 1 m b G F l Y 2 h l b m J p b G F u e i 9 R d W V s b G U u e 0 N v b H V t b j E w L D l 9 J n F 1 b 3 Q 7 L C Z x d W 9 0 O 1 N l Y 3 R p b 2 4 x L 2 5 s c i 0 w O C 1 u L W Z s Y W V j a G V u Y m l s Y W 5 6 L 1 F 1 Z W x s Z S 5 7 Q 2 9 s d W 1 u M T E s M T B 9 J n F 1 b 3 Q 7 L C Z x d W 9 0 O 1 N l Y 3 R p b 2 4 x L 2 5 s c i 0 w O C 1 u L W Z s Y W V j a G V u Y m l s Y W 5 6 L 1 F 1 Z W x s Z S 5 7 Q 2 9 s d W 1 u M T I s M T F 9 J n F 1 b 3 Q 7 L C Z x d W 9 0 O 1 N l Y 3 R p b 2 4 x L 2 5 s c i 0 w O C 1 u L W Z s Y W V j a G V u Y m l s Y W 5 6 L 1 F 1 Z W x s Z S 5 7 Q 2 9 s d W 1 u M T M s M T J 9 J n F 1 b 3 Q 7 L C Z x d W 9 0 O 1 N l Y 3 R p b 2 4 x L 2 5 s c i 0 w O C 1 u L W Z s Y W V j a G V u Y m l s Y W 5 6 L 1 F 1 Z W x s Z S 5 7 Q 2 9 s d W 1 u M T Q s M T N 9 J n F 1 b 3 Q 7 L C Z x d W 9 0 O 1 N l Y 3 R p b 2 4 x L 2 5 s c i 0 w O C 1 u L W Z s Y W V j a G V u Y m l s Y W 5 6 L 1 F 1 Z W x s Z S 5 7 Q 2 9 s d W 1 u M T U s M T R 9 J n F 1 b 3 Q 7 L C Z x d W 9 0 O 1 N l Y 3 R p b 2 4 x L 2 5 s c i 0 w O C 1 u L W Z s Y W V j a G V u Y m l s Y W 5 6 L 1 F 1 Z W x s Z S 5 7 Q 2 9 s d W 1 u M T Y s M T V 9 J n F 1 b 3 Q 7 L C Z x d W 9 0 O 1 N l Y 3 R p b 2 4 x L 2 5 s c i 0 w O C 1 u L W Z s Y W V j a G V u Y m l s Y W 5 6 L 1 F 1 Z W x s Z S 5 7 Q 2 9 s d W 1 u M T c s M T Z 9 J n F 1 b 3 Q 7 L C Z x d W 9 0 O 1 N l Y 3 R p b 2 4 x L 2 5 s c i 0 w O C 1 u L W Z s Y W V j a G V u Y m l s Y W 5 6 L 1 F 1 Z W x s Z S 5 7 Q 2 9 s d W 1 u M T g s M T d 9 J n F 1 b 3 Q 7 L C Z x d W 9 0 O 1 N l Y 3 R p b 2 4 x L 2 5 s c i 0 w O C 1 u L W Z s Y W V j a G V u Y m l s Y W 5 6 L 1 F 1 Z W x s Z S 5 7 Q 2 9 s d W 1 u M T k s M T h 9 J n F 1 b 3 Q 7 L C Z x d W 9 0 O 1 N l Y 3 R p b 2 4 x L 2 5 s c i 0 w O C 1 u L W Z s Y W V j a G V u Y m l s Y W 5 6 L 1 F 1 Z W x s Z S 5 7 Q 2 9 s d W 1 u M j A s M T l 9 J n F 1 b 3 Q 7 L C Z x d W 9 0 O 1 N l Y 3 R p b 2 4 x L 2 5 s c i 0 w O C 1 u L W Z s Y W V j a G V u Y m l s Y W 5 6 L 1 F 1 Z W x s Z S 5 7 Q 2 9 s d W 1 u M j E s M j B 9 J n F 1 b 3 Q 7 L C Z x d W 9 0 O 1 N l Y 3 R p b 2 4 x L 2 5 s c i 0 w O C 1 u L W Z s Y W V j a G V u Y m l s Y W 5 6 L 1 F 1 Z W x s Z S 5 7 Q 2 9 s d W 1 u M j I s M j F 9 J n F 1 b 3 Q 7 L C Z x d W 9 0 O 1 N l Y 3 R p b 2 4 x L 2 5 s c i 0 w O C 1 u L W Z s Y W V j a G V u Y m l s Y W 5 6 L 1 F 1 Z W x s Z S 5 7 Q 2 9 s d W 1 u M j M s M j J 9 J n F 1 b 3 Q 7 L C Z x d W 9 0 O 1 N l Y 3 R p b 2 4 x L 2 5 s c i 0 w O C 1 u L W Z s Y W V j a G V u Y m l s Y W 5 6 L 1 F 1 Z W x s Z S 5 7 Q 2 9 s d W 1 u M j Q s M j N 9 J n F 1 b 3 Q 7 L C Z x d W 9 0 O 1 N l Y 3 R p b 2 4 x L 2 5 s c i 0 w O C 1 u L W Z s Y W V j a G V u Y m l s Y W 5 6 L 1 F 1 Z W x s Z S 5 7 Q 2 9 s d W 1 u M j U s M j R 9 J n F 1 b 3 Q 7 L C Z x d W 9 0 O 1 N l Y 3 R p b 2 4 x L 2 5 s c i 0 w O C 1 u L W Z s Y W V j a G V u Y m l s Y W 5 6 L 1 F 1 Z W x s Z S 5 7 Q 2 9 s d W 1 u M j Y s M j V 9 J n F 1 b 3 Q 7 L C Z x d W 9 0 O 1 N l Y 3 R p b 2 4 x L 2 5 s c i 0 w O C 1 u L W Z s Y W V j a G V u Y m l s Y W 5 6 L 1 F 1 Z W x s Z S 5 7 Q 2 9 s d W 1 u M j c s M j Z 9 J n F 1 b 3 Q 7 L C Z x d W 9 0 O 1 N l Y 3 R p b 2 4 x L 2 5 s c i 0 w O C 1 u L W Z s Y W V j a G V u Y m l s Y W 5 6 L 1 F 1 Z W x s Z S 5 7 Q 2 9 s d W 1 u M j g s M j d 9 J n F 1 b 3 Q 7 X S w m c X V v d D t D b 2 x 1 b W 5 D b 3 V u d C Z x d W 9 0 O z o y O C w m c X V v d D t L Z X l D b 2 x 1 b W 5 O Y W 1 l c y Z x d W 9 0 O z p b X S w m c X V v d D t D b 2 x 1 b W 5 J Z G V u d G l 0 a W V z J n F 1 b 3 Q 7 O l s m c X V v d D t T Z W N 0 a W 9 u M S 9 u b H I t M D g t b i 1 m b G F l Y 2 h l b m J p b G F u e i 9 H Z c O k b m R l c n R l c i B U e X A u e y w w f S Z x d W 9 0 O y w m c X V v d D t T Z W N 0 a W 9 u M S 9 u b H I t M D g t b i 1 m b G F l Y 2 h l b m J p b G F u e i 9 R d W V s b G U u e 0 N v b H V t b j I s M X 0 m c X V v d D s s J n F 1 b 3 Q 7 U 2 V j d G l v b j E v b m x y L T A 4 L W 4 t Z m x h Z W N o Z W 5 i a W x h b n o v U X V l b G x l L n t D b 2 x 1 b W 4 z L D J 9 J n F 1 b 3 Q 7 L C Z x d W 9 0 O 1 N l Y 3 R p b 2 4 x L 2 5 s c i 0 w O C 1 u L W Z s Y W V j a G V u Y m l s Y W 5 6 L 1 F 1 Z W x s Z S 5 7 Q 2 9 s d W 1 u N C w z f S Z x d W 9 0 O y w m c X V v d D t T Z W N 0 a W 9 u M S 9 u b H I t M D g t b i 1 m b G F l Y 2 h l b m J p b G F u e i 9 R d W V s b G U u e 0 N v b H V t b j U s N H 0 m c X V v d D s s J n F 1 b 3 Q 7 U 2 V j d G l v b j E v b m x y L T A 4 L W 4 t Z m x h Z W N o Z W 5 i a W x h b n o v U X V l b G x l L n t D b 2 x 1 b W 4 2 L D V 9 J n F 1 b 3 Q 7 L C Z x d W 9 0 O 1 N l Y 3 R p b 2 4 x L 2 5 s c i 0 w O C 1 u L W Z s Y W V j a G V u Y m l s Y W 5 6 L 1 F 1 Z W x s Z S 5 7 Q 2 9 s d W 1 u N y w 2 f S Z x d W 9 0 O y w m c X V v d D t T Z W N 0 a W 9 u M S 9 u b H I t M D g t b i 1 m b G F l Y 2 h l b m J p b G F u e i 9 R d W V s b G U u e 0 N v b H V t b j g s N 3 0 m c X V v d D s s J n F 1 b 3 Q 7 U 2 V j d G l v b j E v b m x y L T A 4 L W 4 t Z m x h Z W N o Z W 5 i a W x h b n o v U X V l b G x l L n t D b 2 x 1 b W 4 5 L D h 9 J n F 1 b 3 Q 7 L C Z x d W 9 0 O 1 N l Y 3 R p b 2 4 x L 2 5 s c i 0 w O C 1 u L W Z s Y W V j a G V u Y m l s Y W 5 6 L 1 F 1 Z W x s Z S 5 7 Q 2 9 s d W 1 u M T A s O X 0 m c X V v d D s s J n F 1 b 3 Q 7 U 2 V j d G l v b j E v b m x y L T A 4 L W 4 t Z m x h Z W N o Z W 5 i a W x h b n o v U X V l b G x l L n t D b 2 x 1 b W 4 x M S w x M H 0 m c X V v d D s s J n F 1 b 3 Q 7 U 2 V j d G l v b j E v b m x y L T A 4 L W 4 t Z m x h Z W N o Z W 5 i a W x h b n o v U X V l b G x l L n t D b 2 x 1 b W 4 x M i w x M X 0 m c X V v d D s s J n F 1 b 3 Q 7 U 2 V j d G l v b j E v b m x y L T A 4 L W 4 t Z m x h Z W N o Z W 5 i a W x h b n o v U X V l b G x l L n t D b 2 x 1 b W 4 x M y w x M n 0 m c X V v d D s s J n F 1 b 3 Q 7 U 2 V j d G l v b j E v b m x y L T A 4 L W 4 t Z m x h Z W N o Z W 5 i a W x h b n o v U X V l b G x l L n t D b 2 x 1 b W 4 x N C w x M 3 0 m c X V v d D s s J n F 1 b 3 Q 7 U 2 V j d G l v b j E v b m x y L T A 4 L W 4 t Z m x h Z W N o Z W 5 i a W x h b n o v U X V l b G x l L n t D b 2 x 1 b W 4 x N S w x N H 0 m c X V v d D s s J n F 1 b 3 Q 7 U 2 V j d G l v b j E v b m x y L T A 4 L W 4 t Z m x h Z W N o Z W 5 i a W x h b n o v U X V l b G x l L n t D b 2 x 1 b W 4 x N i w x N X 0 m c X V v d D s s J n F 1 b 3 Q 7 U 2 V j d G l v b j E v b m x y L T A 4 L W 4 t Z m x h Z W N o Z W 5 i a W x h b n o v U X V l b G x l L n t D b 2 x 1 b W 4 x N y w x N n 0 m c X V v d D s s J n F 1 b 3 Q 7 U 2 V j d G l v b j E v b m x y L T A 4 L W 4 t Z m x h Z W N o Z W 5 i a W x h b n o v U X V l b G x l L n t D b 2 x 1 b W 4 x O C w x N 3 0 m c X V v d D s s J n F 1 b 3 Q 7 U 2 V j d G l v b j E v b m x y L T A 4 L W 4 t Z m x h Z W N o Z W 5 i a W x h b n o v U X V l b G x l L n t D b 2 x 1 b W 4 x O S w x O H 0 m c X V v d D s s J n F 1 b 3 Q 7 U 2 V j d G l v b j E v b m x y L T A 4 L W 4 t Z m x h Z W N o Z W 5 i a W x h b n o v U X V l b G x l L n t D b 2 x 1 b W 4 y M C w x O X 0 m c X V v d D s s J n F 1 b 3 Q 7 U 2 V j d G l v b j E v b m x y L T A 4 L W 4 t Z m x h Z W N o Z W 5 i a W x h b n o v U X V l b G x l L n t D b 2 x 1 b W 4 y M S w y M H 0 m c X V v d D s s J n F 1 b 3 Q 7 U 2 V j d G l v b j E v b m x y L T A 4 L W 4 t Z m x h Z W N o Z W 5 i a W x h b n o v U X V l b G x l L n t D b 2 x 1 b W 4 y M i w y M X 0 m c X V v d D s s J n F 1 b 3 Q 7 U 2 V j d G l v b j E v b m x y L T A 4 L W 4 t Z m x h Z W N o Z W 5 i a W x h b n o v U X V l b G x l L n t D b 2 x 1 b W 4 y M y w y M n 0 m c X V v d D s s J n F 1 b 3 Q 7 U 2 V j d G l v b j E v b m x y L T A 4 L W 4 t Z m x h Z W N o Z W 5 i a W x h b n o v U X V l b G x l L n t D b 2 x 1 b W 4 y N C w y M 3 0 m c X V v d D s s J n F 1 b 3 Q 7 U 2 V j d G l v b j E v b m x y L T A 4 L W 4 t Z m x h Z W N o Z W 5 i a W x h b n o v U X V l b G x l L n t D b 2 x 1 b W 4 y N S w y N H 0 m c X V v d D s s J n F 1 b 3 Q 7 U 2 V j d G l v b j E v b m x y L T A 4 L W 4 t Z m x h Z W N o Z W 5 i a W x h b n o v U X V l b G x l L n t D b 2 x 1 b W 4 y N i w y N X 0 m c X V v d D s s J n F 1 b 3 Q 7 U 2 V j d G l v b j E v b m x y L T A 4 L W 4 t Z m x h Z W N o Z W 5 i a W x h b n o v U X V l b G x l L n t D b 2 x 1 b W 4 y N y w y N n 0 m c X V v d D s s J n F 1 b 3 Q 7 U 2 V j d G l v b j E v b m x y L T A 4 L W 4 t Z m x h Z W N o Z W 5 i a W x h b n o v U X V l b G x l L n t D b 2 x 1 b W 4 y O C w y N 3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m x y L T A 4 L W 4 t Z m x h Z W N o Z W 5 i a W x h b n o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m x y L T A 4 L W 4 t Z m x h Z W N o Z W 5 i a W x h b n o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m x y L T A 4 L W 4 t Z m x h Z W N o Z W 5 i a W x h b n o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m x y L T A 5 L W h u d i 1 m b G F l Y 2 h l b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u b H J f M D l f a G 5 2 X 2 Z s Y W V j a G V u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S E 5 W L U Z h c m 1 s Y W 5 k I i A v P j x F b n R y e S B U e X B l P S J S Z W N v d m V y e V R h c m d l d E N v b H V t b i I g V m F s d W U 9 I m w 2 I i A v P j x F b n R y e S B U e X B l P S J S Z W N v d m V y e V R h c m d l d F J v d y I g V m F s d W U 9 I m w 2 I i A v P j x F b n R y e S B U e X B l P S J G a W x s Q 2 9 s d W 1 u V H l w Z X M i I F Z h b H V l P S J z Q m d Z R 0 J n W U d C Z 1 l H Q m d Z R 0 J n W T 0 i I C 8 + P E V u d H J 5 I F R 5 c G U 9 I k Z p b G x M Y X N 0 V X B k Y X R l Z C I g V m F s d W U 9 I m Q y M D I z L T E x L T I 4 V D A 5 O j E 3 O j Q 5 L j g 2 N T g x O T Z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I i A v P j x F b n R y e S B U e X B l P S J R d W V y e U l E I i B W Y W x 1 Z T 0 i c z I w M j N j N m R i L W Z i M D Y t N G Y w M y 1 h N j d i L T E 4 O T Y z M G F i O W J h N C I g L z 4 8 R W 5 0 c n k g V H l w Z T 0 i R m l s b E N v b H V t b k 5 h b W V z I i B W Y W x 1 Z T 0 i c 1 s m c X V v d D t D b 2 x 1 b W 4 x J n F 1 b 3 Q 7 L C Z x d W 9 0 O z I w M D k m c X V v d D s s J n F 1 b 3 Q 7 M j A x M C Z x d W 9 0 O y w m c X V v d D s y M D E x J n F 1 b 3 Q 7 L C Z x d W 9 0 O z I w M T I m c X V v d D s s J n F 1 b 3 Q 7 M j A x M y Z x d W 9 0 O y w m c X V v d D s y M D E 0 J n F 1 b 3 Q 7 L C Z x d W 9 0 O z I w M T U m c X V v d D s s J n F 1 b 3 Q 7 M j A x N i Z x d W 9 0 O y w m c X V v d D s y M D E 3 J n F 1 b 3 Q 7 L C Z x d W 9 0 O z I w M T g m c X V v d D s s J n F 1 b 3 Q 7 M j A x O S Z x d W 9 0 O y w m c X V v d D s y M D I w J n F 1 b 3 Q 7 L C Z x d W 9 0 O z I w M j E m c X V v d D t d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b H I t M D k t a G 5 2 L W Z s Y W V j a G V u L 0 d l w 6 R u Z G V y d G V y I F R 5 c C 5 7 L D B 9 J n F 1 b 3 Q 7 L C Z x d W 9 0 O 1 N l Y 3 R p b 2 4 x L 2 5 s c i 0 w O S 1 o b n Y t Z m x h Z W N o Z W 4 v U X V l b G x l L n t D b 2 x 1 b W 4 y L D F 9 J n F 1 b 3 Q 7 L C Z x d W 9 0 O 1 N l Y 3 R p b 2 4 x L 2 5 s c i 0 w O S 1 o b n Y t Z m x h Z W N o Z W 4 v U X V l b G x l L n t D b 2 x 1 b W 4 z L D J 9 J n F 1 b 3 Q 7 L C Z x d W 9 0 O 1 N l Y 3 R p b 2 4 x L 2 5 s c i 0 w O S 1 o b n Y t Z m x h Z W N o Z W 4 v U X V l b G x l L n t D b 2 x 1 b W 4 0 L D N 9 J n F 1 b 3 Q 7 L C Z x d W 9 0 O 1 N l Y 3 R p b 2 4 x L 2 5 s c i 0 w O S 1 o b n Y t Z m x h Z W N o Z W 4 v U X V l b G x l L n t D b 2 x 1 b W 4 1 L D R 9 J n F 1 b 3 Q 7 L C Z x d W 9 0 O 1 N l Y 3 R p b 2 4 x L 2 5 s c i 0 w O S 1 o b n Y t Z m x h Z W N o Z W 4 v U X V l b G x l L n t D b 2 x 1 b W 4 2 L D V 9 J n F 1 b 3 Q 7 L C Z x d W 9 0 O 1 N l Y 3 R p b 2 4 x L 2 5 s c i 0 w O S 1 o b n Y t Z m x h Z W N o Z W 4 v U X V l b G x l L n t D b 2 x 1 b W 4 3 L D Z 9 J n F 1 b 3 Q 7 L C Z x d W 9 0 O 1 N l Y 3 R p b 2 4 x L 2 5 s c i 0 w O S 1 o b n Y t Z m x h Z W N o Z W 4 v U X V l b G x l L n t D b 2 x 1 b W 4 4 L D d 9 J n F 1 b 3 Q 7 L C Z x d W 9 0 O 1 N l Y 3 R p b 2 4 x L 2 5 s c i 0 w O S 1 o b n Y t Z m x h Z W N o Z W 4 v U X V l b G x l L n t D b 2 x 1 b W 4 5 L D h 9 J n F 1 b 3 Q 7 L C Z x d W 9 0 O 1 N l Y 3 R p b 2 4 x L 2 5 s c i 0 w O S 1 o b n Y t Z m x h Z W N o Z W 4 v U X V l b G x l L n t D b 2 x 1 b W 4 x M C w 5 f S Z x d W 9 0 O y w m c X V v d D t T Z W N 0 a W 9 u M S 9 u b H I t M D k t a G 5 2 L W Z s Y W V j a G V u L 1 F 1 Z W x s Z S 5 7 Q 2 9 s d W 1 u M T E s M T B 9 J n F 1 b 3 Q 7 L C Z x d W 9 0 O 1 N l Y 3 R p b 2 4 x L 2 5 s c i 0 w O S 1 o b n Y t Z m x h Z W N o Z W 4 v U X V l b G x l L n t D b 2 x 1 b W 4 x M i w x M X 0 m c X V v d D s s J n F 1 b 3 Q 7 U 2 V j d G l v b j E v b m x y L T A 5 L W h u d i 1 m b G F l Y 2 h l b i 9 R d W V s b G U u e 0 N v b H V t b j E z L D E y f S Z x d W 9 0 O y w m c X V v d D t T Z W N 0 a W 9 u M S 9 u b H I t M D k t a G 5 2 L W Z s Y W V j a G V u L 1 F 1 Z W x s Z S 5 7 Q 2 9 s d W 1 u M T Q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u b H I t M D k t a G 5 2 L W Z s Y W V j a G V u L 0 d l w 6 R u Z G V y d G V y I F R 5 c C 5 7 L D B 9 J n F 1 b 3 Q 7 L C Z x d W 9 0 O 1 N l Y 3 R p b 2 4 x L 2 5 s c i 0 w O S 1 o b n Y t Z m x h Z W N o Z W 4 v U X V l b G x l L n t D b 2 x 1 b W 4 y L D F 9 J n F 1 b 3 Q 7 L C Z x d W 9 0 O 1 N l Y 3 R p b 2 4 x L 2 5 s c i 0 w O S 1 o b n Y t Z m x h Z W N o Z W 4 v U X V l b G x l L n t D b 2 x 1 b W 4 z L D J 9 J n F 1 b 3 Q 7 L C Z x d W 9 0 O 1 N l Y 3 R p b 2 4 x L 2 5 s c i 0 w O S 1 o b n Y t Z m x h Z W N o Z W 4 v U X V l b G x l L n t D b 2 x 1 b W 4 0 L D N 9 J n F 1 b 3 Q 7 L C Z x d W 9 0 O 1 N l Y 3 R p b 2 4 x L 2 5 s c i 0 w O S 1 o b n Y t Z m x h Z W N o Z W 4 v U X V l b G x l L n t D b 2 x 1 b W 4 1 L D R 9 J n F 1 b 3 Q 7 L C Z x d W 9 0 O 1 N l Y 3 R p b 2 4 x L 2 5 s c i 0 w O S 1 o b n Y t Z m x h Z W N o Z W 4 v U X V l b G x l L n t D b 2 x 1 b W 4 2 L D V 9 J n F 1 b 3 Q 7 L C Z x d W 9 0 O 1 N l Y 3 R p b 2 4 x L 2 5 s c i 0 w O S 1 o b n Y t Z m x h Z W N o Z W 4 v U X V l b G x l L n t D b 2 x 1 b W 4 3 L D Z 9 J n F 1 b 3 Q 7 L C Z x d W 9 0 O 1 N l Y 3 R p b 2 4 x L 2 5 s c i 0 w O S 1 o b n Y t Z m x h Z W N o Z W 4 v U X V l b G x l L n t D b 2 x 1 b W 4 4 L D d 9 J n F 1 b 3 Q 7 L C Z x d W 9 0 O 1 N l Y 3 R p b 2 4 x L 2 5 s c i 0 w O S 1 o b n Y t Z m x h Z W N o Z W 4 v U X V l b G x l L n t D b 2 x 1 b W 4 5 L D h 9 J n F 1 b 3 Q 7 L C Z x d W 9 0 O 1 N l Y 3 R p b 2 4 x L 2 5 s c i 0 w O S 1 o b n Y t Z m x h Z W N o Z W 4 v U X V l b G x l L n t D b 2 x 1 b W 4 x M C w 5 f S Z x d W 9 0 O y w m c X V v d D t T Z W N 0 a W 9 u M S 9 u b H I t M D k t a G 5 2 L W Z s Y W V j a G V u L 1 F 1 Z W x s Z S 5 7 Q 2 9 s d W 1 u M T E s M T B 9 J n F 1 b 3 Q 7 L C Z x d W 9 0 O 1 N l Y 3 R p b 2 4 x L 2 5 s c i 0 w O S 1 o b n Y t Z m x h Z W N o Z W 4 v U X V l b G x l L n t D b 2 x 1 b W 4 x M i w x M X 0 m c X V v d D s s J n F 1 b 3 Q 7 U 2 V j d G l v b j E v b m x y L T A 5 L W h u d i 1 m b G F l Y 2 h l b i 9 R d W V s b G U u e 0 N v b H V t b j E z L D E y f S Z x d W 9 0 O y w m c X V v d D t T Z W N 0 a W 9 u M S 9 u b H I t M D k t a G 5 2 L W Z s Y W V j a G V u L 1 F 1 Z W x s Z S 5 7 Q 2 9 s d W 1 u M T Q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b H I t M D k t a G 5 2 L W Z s Y W V j a G V u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5 s c i 0 w O S 1 o b n Y t Z m x h Z W N o Z W 4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m x y L T A 5 L W h u d i 1 m b G F l Y 2 h l b i 9 I J U M z J U I 2 a G V y J T I w Z 2 V z d H V m d G U l M j B I Z W F k Z X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M B L 3 9 G I i U C z r z U o M D 3 M u w A A A A A C A A A A A A A D Z g A A w A A A A B A A A A C 6 W C n L K + q z F N o Z Y x L d 1 l B 5 A A A A A A S A A A C g A A A A E A A A A F u z r U f t x T B D T T n X X x S a N f 5 Q A A A A P X F g 4 f t q x M L m n R L b d 9 a 6 B E / e h m F m E 3 c Z B e J S s r w v I S L p K r 4 t 0 g 3 c F W H H 4 H 8 o 5 / 1 F 6 I 8 6 + 4 j Y 5 a a p k 5 h U q 2 / n A q l 7 l 2 z 0 f E 2 L l I c F H o C g i g Y U A A A A G T 7 I b O L M c 1 S p U Q Q f c p K D T 5 4 n y q M = < / D a t a M a s h u p > 
</file>

<file path=customXml/itemProps1.xml><?xml version="1.0" encoding="utf-8"?>
<ds:datastoreItem xmlns:ds="http://schemas.openxmlformats.org/officeDocument/2006/customXml" ds:itemID="{2E1B07DA-CDE3-43AC-8989-F4A568121C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23</vt:i4>
      </vt:variant>
    </vt:vector>
  </HeadingPairs>
  <TitlesOfParts>
    <vt:vector size="23" baseType="lpstr">
      <vt:lpstr>Inhalt</vt:lpstr>
      <vt:lpstr>README</vt:lpstr>
      <vt:lpstr>Treibhausgase</vt:lpstr>
      <vt:lpstr>Stickstoffdioxidemissionen</vt:lpstr>
      <vt:lpstr>NO2-Kontentration HG</vt:lpstr>
      <vt:lpstr>Feinstaubemissionen</vt:lpstr>
      <vt:lpstr>Feinstaubkonz. PM 2.5 10</vt:lpstr>
      <vt:lpstr>Ozonkonzentration HG</vt:lpstr>
      <vt:lpstr>Lärmbelastung Lden</vt:lpstr>
      <vt:lpstr>Lärmbelastung Lnight</vt:lpstr>
      <vt:lpstr>HH-Abfälle</vt:lpstr>
      <vt:lpstr>Recyclingqote</vt:lpstr>
      <vt:lpstr>Flächenverbrauch</vt:lpstr>
      <vt:lpstr>Siedlungsfläche</vt:lpstr>
      <vt:lpstr>Schwermetalleintrag</vt:lpstr>
      <vt:lpstr>Fließgewässerzustand</vt:lpstr>
      <vt:lpstr>Nitrat GW</vt:lpstr>
      <vt:lpstr>Gefärdete Arten</vt:lpstr>
      <vt:lpstr>Naturschutzflächen</vt:lpstr>
      <vt:lpstr>Stickstoffeintrag</vt:lpstr>
      <vt:lpstr>Säureeintrag</vt:lpstr>
      <vt:lpstr>N-Flächenbilanz</vt:lpstr>
      <vt:lpstr>HNV-Farmland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Braukmann</dc:creator>
  <cp:lastModifiedBy>Braukmann, Jürgen</cp:lastModifiedBy>
  <dcterms:created xsi:type="dcterms:W3CDTF">2020-01-27T16:10:11Z</dcterms:created>
  <dcterms:modified xsi:type="dcterms:W3CDTF">2023-11-28T09:34:01Z</dcterms:modified>
</cp:coreProperties>
</file>